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ThisWorkbook"/>
  <bookViews>
    <workbookView xWindow="0" yWindow="60" windowWidth="28800" windowHeight="12375"/>
  </bookViews>
  <sheets>
    <sheet name="Intro" sheetId="13" r:id="rId1"/>
    <sheet name="Kalkulačka" sheetId="5" r:id="rId2"/>
    <sheet name="Analýza_citlivosti" sheetId="12" r:id="rId3"/>
    <sheet name="CMA" sheetId="2" r:id="rId4"/>
    <sheet name="Predpoklady" sheetId="6" r:id="rId5"/>
    <sheet name="OPEX" sheetId="8" r:id="rId6"/>
    <sheet name="Diesel" sheetId="9" r:id="rId7"/>
    <sheet name="Ceny_listkov" sheetId="7" r:id="rId8"/>
  </sheets>
  <definedNames>
    <definedName name="Okres">Predpoklady!$A$2:$A$3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7" l="1"/>
  <c r="G14" i="7"/>
  <c r="C7" i="5"/>
  <c r="C16" i="12"/>
  <c r="C11" i="12"/>
  <c r="D5" i="2" l="1"/>
  <c r="E5" i="2" s="1"/>
  <c r="C5" i="2"/>
  <c r="F5" i="2" l="1"/>
  <c r="G5" i="2" s="1"/>
  <c r="H5" i="2" s="1"/>
  <c r="I5" i="2" s="1"/>
  <c r="J5" i="2" s="1"/>
  <c r="K5" i="2" s="1"/>
  <c r="L5" i="2" s="1"/>
  <c r="M5" i="2" s="1"/>
  <c r="N5" i="2" s="1"/>
  <c r="O5" i="2" s="1"/>
  <c r="P5" i="2" s="1"/>
  <c r="Q5" i="2" s="1"/>
  <c r="R5" i="2" s="1"/>
  <c r="S5" i="2" s="1"/>
  <c r="T5" i="2" s="1"/>
  <c r="U5" i="2" s="1"/>
  <c r="V5" i="2" s="1"/>
  <c r="E16" i="12"/>
  <c r="F16" i="12"/>
  <c r="G16" i="12"/>
  <c r="H16" i="12"/>
  <c r="I16" i="12"/>
  <c r="J16" i="12"/>
  <c r="K16" i="12"/>
  <c r="L16" i="12"/>
  <c r="M16" i="12"/>
  <c r="N16" i="12"/>
  <c r="E17" i="12"/>
  <c r="F17" i="12"/>
  <c r="G17" i="12"/>
  <c r="H17" i="12"/>
  <c r="I17" i="12"/>
  <c r="J17" i="12"/>
  <c r="K17" i="12"/>
  <c r="L17" i="12"/>
  <c r="M17" i="12"/>
  <c r="N17" i="12"/>
  <c r="E18" i="12"/>
  <c r="F18" i="12"/>
  <c r="G18" i="12"/>
  <c r="H18" i="12"/>
  <c r="I18" i="12"/>
  <c r="J18" i="12"/>
  <c r="K18" i="12"/>
  <c r="L18" i="12"/>
  <c r="M18" i="12"/>
  <c r="N18" i="12"/>
  <c r="B17" i="12"/>
  <c r="C17" i="12"/>
  <c r="D17" i="12"/>
  <c r="B18" i="12"/>
  <c r="C18" i="12"/>
  <c r="D18" i="12"/>
  <c r="D16" i="12"/>
  <c r="B16" i="12"/>
  <c r="C12" i="2"/>
  <c r="C21" i="2" s="1"/>
  <c r="C34" i="2" s="1"/>
  <c r="K3" i="6"/>
  <c r="K2" i="6"/>
  <c r="C10" i="2"/>
  <c r="C20" i="2" s="1"/>
  <c r="C33" i="2" s="1"/>
  <c r="C4" i="5"/>
  <c r="A5" i="2" l="1"/>
  <c r="A6" i="2" s="1"/>
  <c r="D10" i="2"/>
  <c r="B17" i="6"/>
  <c r="C16" i="6"/>
  <c r="C17" i="6" s="1"/>
  <c r="E10" i="2" l="1"/>
  <c r="D20" i="2"/>
  <c r="D33" i="2" s="1"/>
  <c r="C10" i="9"/>
  <c r="B13" i="9"/>
  <c r="B6" i="9"/>
  <c r="F10" i="2" l="1"/>
  <c r="E20" i="2"/>
  <c r="E33" i="2" s="1"/>
  <c r="C11" i="9"/>
  <c r="C12" i="9"/>
  <c r="C4" i="9"/>
  <c r="C5" i="9"/>
  <c r="C3" i="9"/>
  <c r="G10" i="2" l="1"/>
  <c r="F20" i="2"/>
  <c r="F33" i="2" s="1"/>
  <c r="C6" i="9"/>
  <c r="D3" i="9"/>
  <c r="G3" i="9" s="1"/>
  <c r="E2" i="6"/>
  <c r="H10" i="2" l="1"/>
  <c r="G20" i="2"/>
  <c r="G33" i="2" s="1"/>
  <c r="E10" i="12"/>
  <c r="F10" i="12"/>
  <c r="G11" i="12"/>
  <c r="H11" i="12"/>
  <c r="I11" i="12"/>
  <c r="J11" i="12"/>
  <c r="K11" i="12"/>
  <c r="L11" i="12"/>
  <c r="M11" i="12"/>
  <c r="N11" i="12"/>
  <c r="G12" i="12"/>
  <c r="H12" i="12"/>
  <c r="I12" i="12"/>
  <c r="J12" i="12"/>
  <c r="K12" i="12"/>
  <c r="L12" i="12"/>
  <c r="M12" i="12"/>
  <c r="N12" i="12"/>
  <c r="G13" i="12"/>
  <c r="H13" i="12"/>
  <c r="I13" i="12"/>
  <c r="J13" i="12"/>
  <c r="K13" i="12"/>
  <c r="L13" i="12"/>
  <c r="M13" i="12"/>
  <c r="N13" i="12"/>
  <c r="G14" i="12"/>
  <c r="H14" i="12"/>
  <c r="I14" i="12"/>
  <c r="J14" i="12"/>
  <c r="K14" i="12"/>
  <c r="L14" i="12"/>
  <c r="M14" i="12"/>
  <c r="N14" i="12"/>
  <c r="I10" i="2" l="1"/>
  <c r="H20" i="2"/>
  <c r="H33" i="2" s="1"/>
  <c r="E11" i="12"/>
  <c r="F11" i="12"/>
  <c r="E12" i="12"/>
  <c r="F12" i="12"/>
  <c r="E13" i="12"/>
  <c r="F13" i="12"/>
  <c r="E14" i="12"/>
  <c r="F14" i="12"/>
  <c r="D10" i="12"/>
  <c r="G10" i="12"/>
  <c r="H10" i="12"/>
  <c r="I10" i="12"/>
  <c r="J10" i="12"/>
  <c r="K10" i="12"/>
  <c r="L10" i="12"/>
  <c r="M10" i="12"/>
  <c r="N10" i="12"/>
  <c r="C10" i="12"/>
  <c r="J10" i="2" l="1"/>
  <c r="I20" i="2"/>
  <c r="I33" i="2" s="1"/>
  <c r="D11" i="12"/>
  <c r="C12" i="12"/>
  <c r="D12" i="12"/>
  <c r="C13" i="12"/>
  <c r="D13" i="12"/>
  <c r="C14" i="12"/>
  <c r="D14" i="12"/>
  <c r="B12" i="12"/>
  <c r="B13" i="12"/>
  <c r="B14" i="12"/>
  <c r="B11" i="12"/>
  <c r="C17" i="5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C43" i="2"/>
  <c r="C44" i="2"/>
  <c r="C42" i="2"/>
  <c r="C11" i="5"/>
  <c r="K10" i="2" l="1"/>
  <c r="J20" i="2"/>
  <c r="J33" i="2" s="1"/>
  <c r="G27" i="8"/>
  <c r="E22" i="8"/>
  <c r="D22" i="8"/>
  <c r="E24" i="7"/>
  <c r="M24" i="7" s="1"/>
  <c r="E14" i="7"/>
  <c r="M14" i="7" s="1"/>
  <c r="C24" i="7"/>
  <c r="C14" i="7"/>
  <c r="L10" i="2" l="1"/>
  <c r="K20" i="2"/>
  <c r="K33" i="2" s="1"/>
  <c r="F36" i="7"/>
  <c r="B41" i="7"/>
  <c r="M10" i="2" l="1"/>
  <c r="L20" i="2"/>
  <c r="L33" i="2" s="1"/>
  <c r="F2" i="6"/>
  <c r="N10" i="2" l="1"/>
  <c r="M20" i="2"/>
  <c r="M33" i="2" s="1"/>
  <c r="F37" i="8"/>
  <c r="G37" i="8" s="1"/>
  <c r="E12" i="9"/>
  <c r="E11" i="9"/>
  <c r="E10" i="9"/>
  <c r="E5" i="9"/>
  <c r="E4" i="9"/>
  <c r="E3" i="9"/>
  <c r="D11" i="9"/>
  <c r="D12" i="9"/>
  <c r="D10" i="9"/>
  <c r="D4" i="9"/>
  <c r="D5" i="9"/>
  <c r="C13" i="9"/>
  <c r="B2" i="6" s="1"/>
  <c r="B3" i="6"/>
  <c r="F21" i="8"/>
  <c r="F20" i="8"/>
  <c r="F19" i="8"/>
  <c r="J15" i="8"/>
  <c r="K15" i="8" s="1"/>
  <c r="L15" i="8" s="1"/>
  <c r="M15" i="8" s="1"/>
  <c r="N15" i="8" s="1"/>
  <c r="O15" i="8" s="1"/>
  <c r="P15" i="8" s="1"/>
  <c r="Q15" i="8" s="1"/>
  <c r="R15" i="8" s="1"/>
  <c r="S15" i="8" s="1"/>
  <c r="T15" i="8" s="1"/>
  <c r="U15" i="8" s="1"/>
  <c r="V15" i="8" s="1"/>
  <c r="W15" i="8" s="1"/>
  <c r="X15" i="8" s="1"/>
  <c r="Y15" i="8" s="1"/>
  <c r="Z15" i="8" s="1"/>
  <c r="J14" i="8"/>
  <c r="K14" i="8" s="1"/>
  <c r="L14" i="8" s="1"/>
  <c r="M14" i="8" s="1"/>
  <c r="N14" i="8" s="1"/>
  <c r="O14" i="8" s="1"/>
  <c r="P14" i="8" s="1"/>
  <c r="Q14" i="8" s="1"/>
  <c r="R14" i="8" s="1"/>
  <c r="S14" i="8" s="1"/>
  <c r="T14" i="8" s="1"/>
  <c r="U14" i="8" s="1"/>
  <c r="V14" i="8" s="1"/>
  <c r="W14" i="8" s="1"/>
  <c r="X14" i="8" s="1"/>
  <c r="Y14" i="8" s="1"/>
  <c r="Z14" i="8" s="1"/>
  <c r="J13" i="8"/>
  <c r="K13" i="8" s="1"/>
  <c r="L13" i="8" s="1"/>
  <c r="M13" i="8" s="1"/>
  <c r="N13" i="8" s="1"/>
  <c r="O13" i="8" s="1"/>
  <c r="P13" i="8" s="1"/>
  <c r="Q13" i="8" s="1"/>
  <c r="R13" i="8" s="1"/>
  <c r="S13" i="8" s="1"/>
  <c r="T13" i="8" s="1"/>
  <c r="U13" i="8" s="1"/>
  <c r="V13" i="8" s="1"/>
  <c r="W13" i="8" s="1"/>
  <c r="X13" i="8" s="1"/>
  <c r="Y13" i="8" s="1"/>
  <c r="Z13" i="8" s="1"/>
  <c r="J12" i="8"/>
  <c r="K12" i="8" s="1"/>
  <c r="L12" i="8" s="1"/>
  <c r="M12" i="8" s="1"/>
  <c r="N12" i="8" s="1"/>
  <c r="O12" i="8" s="1"/>
  <c r="P12" i="8" s="1"/>
  <c r="Q12" i="8" s="1"/>
  <c r="R12" i="8" s="1"/>
  <c r="S12" i="8" s="1"/>
  <c r="T12" i="8" s="1"/>
  <c r="U12" i="8" s="1"/>
  <c r="V12" i="8" s="1"/>
  <c r="W12" i="8" s="1"/>
  <c r="X12" i="8" s="1"/>
  <c r="Y12" i="8" s="1"/>
  <c r="Z12" i="8" s="1"/>
  <c r="J11" i="8"/>
  <c r="K11" i="8" s="1"/>
  <c r="L11" i="8" s="1"/>
  <c r="M11" i="8" s="1"/>
  <c r="N11" i="8" s="1"/>
  <c r="O11" i="8" s="1"/>
  <c r="P11" i="8" s="1"/>
  <c r="Q11" i="8" s="1"/>
  <c r="R11" i="8" s="1"/>
  <c r="S11" i="8" s="1"/>
  <c r="T11" i="8" s="1"/>
  <c r="U11" i="8" s="1"/>
  <c r="V11" i="8" s="1"/>
  <c r="W11" i="8" s="1"/>
  <c r="X11" i="8" s="1"/>
  <c r="Y11" i="8" s="1"/>
  <c r="Z11" i="8" s="1"/>
  <c r="J10" i="8"/>
  <c r="K10" i="8" s="1"/>
  <c r="L10" i="8" s="1"/>
  <c r="M10" i="8" s="1"/>
  <c r="N10" i="8" s="1"/>
  <c r="O10" i="8" s="1"/>
  <c r="P10" i="8" s="1"/>
  <c r="Q10" i="8" s="1"/>
  <c r="R10" i="8" s="1"/>
  <c r="S10" i="8" s="1"/>
  <c r="T10" i="8" s="1"/>
  <c r="U10" i="8" s="1"/>
  <c r="V10" i="8" s="1"/>
  <c r="W10" i="8" s="1"/>
  <c r="X10" i="8" s="1"/>
  <c r="Y10" i="8" s="1"/>
  <c r="Z10" i="8" s="1"/>
  <c r="J9" i="8"/>
  <c r="K9" i="8" s="1"/>
  <c r="L9" i="8" s="1"/>
  <c r="M9" i="8" s="1"/>
  <c r="N9" i="8" s="1"/>
  <c r="O9" i="8" s="1"/>
  <c r="P9" i="8" s="1"/>
  <c r="Q9" i="8" s="1"/>
  <c r="R9" i="8" s="1"/>
  <c r="S9" i="8" s="1"/>
  <c r="T9" i="8" s="1"/>
  <c r="U9" i="8" s="1"/>
  <c r="V9" i="8" s="1"/>
  <c r="W9" i="8" s="1"/>
  <c r="X9" i="8" s="1"/>
  <c r="Y9" i="8" s="1"/>
  <c r="Z9" i="8" s="1"/>
  <c r="J8" i="8"/>
  <c r="K8" i="8" s="1"/>
  <c r="L8" i="8" s="1"/>
  <c r="M8" i="8" s="1"/>
  <c r="N8" i="8" s="1"/>
  <c r="O8" i="8" s="1"/>
  <c r="P8" i="8" s="1"/>
  <c r="Q8" i="8" s="1"/>
  <c r="R8" i="8" s="1"/>
  <c r="S8" i="8" s="1"/>
  <c r="T8" i="8" s="1"/>
  <c r="U8" i="8" s="1"/>
  <c r="V8" i="8" s="1"/>
  <c r="W8" i="8" s="1"/>
  <c r="X8" i="8" s="1"/>
  <c r="Y8" i="8" s="1"/>
  <c r="Z8" i="8" s="1"/>
  <c r="J7" i="8"/>
  <c r="K7" i="8" s="1"/>
  <c r="L7" i="8" s="1"/>
  <c r="M7" i="8" s="1"/>
  <c r="N7" i="8" s="1"/>
  <c r="O7" i="8" s="1"/>
  <c r="P7" i="8" s="1"/>
  <c r="Q7" i="8" s="1"/>
  <c r="R7" i="8" s="1"/>
  <c r="S7" i="8" s="1"/>
  <c r="T7" i="8" s="1"/>
  <c r="U7" i="8" s="1"/>
  <c r="V7" i="8" s="1"/>
  <c r="W7" i="8" s="1"/>
  <c r="X7" i="8" s="1"/>
  <c r="Y7" i="8" s="1"/>
  <c r="Z7" i="8" s="1"/>
  <c r="J6" i="8"/>
  <c r="K6" i="8" s="1"/>
  <c r="L6" i="8" s="1"/>
  <c r="M6" i="8" s="1"/>
  <c r="N6" i="8" s="1"/>
  <c r="O6" i="8" s="1"/>
  <c r="P6" i="8" s="1"/>
  <c r="Q6" i="8" s="1"/>
  <c r="R6" i="8" s="1"/>
  <c r="S6" i="8" s="1"/>
  <c r="T6" i="8" s="1"/>
  <c r="U6" i="8" s="1"/>
  <c r="V6" i="8" s="1"/>
  <c r="W6" i="8" s="1"/>
  <c r="X6" i="8" s="1"/>
  <c r="Y6" i="8" s="1"/>
  <c r="Z6" i="8" s="1"/>
  <c r="J5" i="8"/>
  <c r="K5" i="8" s="1"/>
  <c r="L5" i="8" s="1"/>
  <c r="M5" i="8" s="1"/>
  <c r="N5" i="8" s="1"/>
  <c r="O5" i="8" s="1"/>
  <c r="P5" i="8" s="1"/>
  <c r="Q5" i="8" s="1"/>
  <c r="R5" i="8" s="1"/>
  <c r="S5" i="8" s="1"/>
  <c r="T5" i="8" s="1"/>
  <c r="U5" i="8" s="1"/>
  <c r="V5" i="8" s="1"/>
  <c r="W5" i="8" s="1"/>
  <c r="X5" i="8" s="1"/>
  <c r="Y5" i="8" s="1"/>
  <c r="Z5" i="8" s="1"/>
  <c r="J4" i="8"/>
  <c r="K4" i="8" s="1"/>
  <c r="L4" i="8" s="1"/>
  <c r="M4" i="8" s="1"/>
  <c r="N4" i="8" s="1"/>
  <c r="O4" i="8" s="1"/>
  <c r="P4" i="8" s="1"/>
  <c r="Q4" i="8" s="1"/>
  <c r="R4" i="8" s="1"/>
  <c r="S4" i="8" s="1"/>
  <c r="T4" i="8" s="1"/>
  <c r="U4" i="8" s="1"/>
  <c r="V4" i="8" s="1"/>
  <c r="W4" i="8" s="1"/>
  <c r="X4" i="8" s="1"/>
  <c r="Y4" i="8" s="1"/>
  <c r="Z4" i="8" s="1"/>
  <c r="J3" i="8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O10" i="2" l="1"/>
  <c r="N20" i="2"/>
  <c r="N33" i="2" s="1"/>
  <c r="J31" i="8"/>
  <c r="N31" i="8"/>
  <c r="R31" i="8"/>
  <c r="V31" i="8"/>
  <c r="Z31" i="8"/>
  <c r="G31" i="8"/>
  <c r="K31" i="8"/>
  <c r="O31" i="8"/>
  <c r="S31" i="8"/>
  <c r="W31" i="8"/>
  <c r="H31" i="8"/>
  <c r="L31" i="8"/>
  <c r="P31" i="8"/>
  <c r="T31" i="8"/>
  <c r="X31" i="8"/>
  <c r="I31" i="8"/>
  <c r="M31" i="8"/>
  <c r="Q31" i="8"/>
  <c r="U31" i="8"/>
  <c r="Y31" i="8"/>
  <c r="K32" i="8"/>
  <c r="O32" i="8"/>
  <c r="S32" i="8"/>
  <c r="W32" i="8"/>
  <c r="H32" i="8"/>
  <c r="L32" i="8"/>
  <c r="P32" i="8"/>
  <c r="T32" i="8"/>
  <c r="X32" i="8"/>
  <c r="G32" i="8"/>
  <c r="I32" i="8"/>
  <c r="M32" i="8"/>
  <c r="Q32" i="8"/>
  <c r="U32" i="8"/>
  <c r="Y32" i="8"/>
  <c r="J32" i="8"/>
  <c r="N32" i="8"/>
  <c r="R32" i="8"/>
  <c r="V32" i="8"/>
  <c r="Z32" i="8"/>
  <c r="I30" i="8"/>
  <c r="M30" i="8"/>
  <c r="Q30" i="8"/>
  <c r="U30" i="8"/>
  <c r="Y30" i="8"/>
  <c r="J30" i="8"/>
  <c r="N30" i="8"/>
  <c r="R30" i="8"/>
  <c r="V30" i="8"/>
  <c r="Z30" i="8"/>
  <c r="K30" i="8"/>
  <c r="O30" i="8"/>
  <c r="S30" i="8"/>
  <c r="W30" i="8"/>
  <c r="W33" i="8" s="1"/>
  <c r="G30" i="8"/>
  <c r="H30" i="8"/>
  <c r="L30" i="8"/>
  <c r="P30" i="8"/>
  <c r="T30" i="8"/>
  <c r="X30" i="8"/>
  <c r="J26" i="8"/>
  <c r="N26" i="8"/>
  <c r="R26" i="8"/>
  <c r="V26" i="8"/>
  <c r="Z26" i="8"/>
  <c r="K26" i="8"/>
  <c r="O26" i="8"/>
  <c r="S26" i="8"/>
  <c r="W26" i="8"/>
  <c r="G26" i="8"/>
  <c r="H26" i="8"/>
  <c r="L26" i="8"/>
  <c r="P26" i="8"/>
  <c r="T26" i="8"/>
  <c r="X26" i="8"/>
  <c r="I26" i="8"/>
  <c r="M26" i="8"/>
  <c r="Q26" i="8"/>
  <c r="U26" i="8"/>
  <c r="Y26" i="8"/>
  <c r="K27" i="8"/>
  <c r="O27" i="8"/>
  <c r="S27" i="8"/>
  <c r="W27" i="8"/>
  <c r="H27" i="8"/>
  <c r="L27" i="8"/>
  <c r="P27" i="8"/>
  <c r="T27" i="8"/>
  <c r="X27" i="8"/>
  <c r="I27" i="8"/>
  <c r="M27" i="8"/>
  <c r="Q27" i="8"/>
  <c r="U27" i="8"/>
  <c r="Y27" i="8"/>
  <c r="J27" i="8"/>
  <c r="N27" i="8"/>
  <c r="R27" i="8"/>
  <c r="V27" i="8"/>
  <c r="Z27" i="8"/>
  <c r="I25" i="8"/>
  <c r="M25" i="8"/>
  <c r="Q25" i="8"/>
  <c r="U25" i="8"/>
  <c r="U28" i="8" s="1"/>
  <c r="Y25" i="8"/>
  <c r="J25" i="8"/>
  <c r="N25" i="8"/>
  <c r="R25" i="8"/>
  <c r="R28" i="8" s="1"/>
  <c r="V25" i="8"/>
  <c r="Z25" i="8"/>
  <c r="Z28" i="8" s="1"/>
  <c r="K25" i="8"/>
  <c r="O25" i="8"/>
  <c r="O28" i="8" s="1"/>
  <c r="S25" i="8"/>
  <c r="W25" i="8"/>
  <c r="W28" i="8" s="1"/>
  <c r="G25" i="8"/>
  <c r="H25" i="8"/>
  <c r="H28" i="8" s="1"/>
  <c r="L25" i="8"/>
  <c r="P25" i="8"/>
  <c r="P28" i="8" s="1"/>
  <c r="T25" i="8"/>
  <c r="X25" i="8"/>
  <c r="X28" i="8" s="1"/>
  <c r="C9" i="5"/>
  <c r="C24" i="2" s="1"/>
  <c r="D24" i="2" s="1"/>
  <c r="E24" i="2" s="1"/>
  <c r="F24" i="2" s="1"/>
  <c r="G24" i="2" s="1"/>
  <c r="H24" i="2" s="1"/>
  <c r="I24" i="2" s="1"/>
  <c r="J24" i="2" s="1"/>
  <c r="K24" i="2" s="1"/>
  <c r="L24" i="2" s="1"/>
  <c r="M24" i="2" s="1"/>
  <c r="N24" i="2" s="1"/>
  <c r="O24" i="2" s="1"/>
  <c r="P24" i="2" s="1"/>
  <c r="Q24" i="2" s="1"/>
  <c r="R24" i="2" s="1"/>
  <c r="S24" i="2" s="1"/>
  <c r="T24" i="2" s="1"/>
  <c r="U24" i="2" s="1"/>
  <c r="V24" i="2" s="1"/>
  <c r="G11" i="9"/>
  <c r="G10" i="9"/>
  <c r="H3" i="9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G12" i="9"/>
  <c r="G5" i="9"/>
  <c r="H5" i="9" s="1"/>
  <c r="I5" i="9" s="1"/>
  <c r="J5" i="9" s="1"/>
  <c r="K5" i="9" s="1"/>
  <c r="L5" i="9" s="1"/>
  <c r="M5" i="9" s="1"/>
  <c r="N5" i="9" s="1"/>
  <c r="O5" i="9" s="1"/>
  <c r="P5" i="9" s="1"/>
  <c r="Q5" i="9" s="1"/>
  <c r="R5" i="9" s="1"/>
  <c r="S5" i="9" s="1"/>
  <c r="T5" i="9" s="1"/>
  <c r="U5" i="9" s="1"/>
  <c r="V5" i="9" s="1"/>
  <c r="W5" i="9" s="1"/>
  <c r="X5" i="9" s="1"/>
  <c r="Y5" i="9" s="1"/>
  <c r="Z5" i="9" s="1"/>
  <c r="G4" i="9"/>
  <c r="H4" i="9" s="1"/>
  <c r="I4" i="9" s="1"/>
  <c r="J4" i="9" s="1"/>
  <c r="K4" i="9" s="1"/>
  <c r="L4" i="9" s="1"/>
  <c r="M4" i="9" s="1"/>
  <c r="N4" i="9" s="1"/>
  <c r="O4" i="9" s="1"/>
  <c r="P4" i="9" s="1"/>
  <c r="Q4" i="9" s="1"/>
  <c r="R4" i="9" s="1"/>
  <c r="S4" i="9" s="1"/>
  <c r="T4" i="9" s="1"/>
  <c r="U4" i="9" s="1"/>
  <c r="V4" i="9" s="1"/>
  <c r="W4" i="9" s="1"/>
  <c r="X4" i="9" s="1"/>
  <c r="Y4" i="9" s="1"/>
  <c r="Z4" i="9" s="1"/>
  <c r="C23" i="2"/>
  <c r="H37" i="8"/>
  <c r="D13" i="9"/>
  <c r="D6" i="9"/>
  <c r="I3" i="6"/>
  <c r="C47" i="2" s="1"/>
  <c r="I2" i="6"/>
  <c r="P10" i="2" l="1"/>
  <c r="O20" i="2"/>
  <c r="O33" i="2" s="1"/>
  <c r="H10" i="9"/>
  <c r="I10" i="9" s="1"/>
  <c r="J10" i="9" s="1"/>
  <c r="K10" i="9" s="1"/>
  <c r="L10" i="9" s="1"/>
  <c r="M10" i="9" s="1"/>
  <c r="N10" i="9" s="1"/>
  <c r="O10" i="9" s="1"/>
  <c r="P10" i="9" s="1"/>
  <c r="Q10" i="9" s="1"/>
  <c r="R10" i="9" s="1"/>
  <c r="S10" i="9" s="1"/>
  <c r="T10" i="9" s="1"/>
  <c r="U10" i="9" s="1"/>
  <c r="V10" i="9" s="1"/>
  <c r="W10" i="9" s="1"/>
  <c r="X10" i="9" s="1"/>
  <c r="Y10" i="9" s="1"/>
  <c r="Z10" i="9" s="1"/>
  <c r="H12" i="9"/>
  <c r="I12" i="9" s="1"/>
  <c r="J12" i="9" s="1"/>
  <c r="K12" i="9" s="1"/>
  <c r="L12" i="9" s="1"/>
  <c r="M12" i="9" s="1"/>
  <c r="N12" i="9" s="1"/>
  <c r="O12" i="9" s="1"/>
  <c r="P12" i="9" s="1"/>
  <c r="Q12" i="9" s="1"/>
  <c r="R12" i="9" s="1"/>
  <c r="S12" i="9" s="1"/>
  <c r="T12" i="9" s="1"/>
  <c r="U12" i="9" s="1"/>
  <c r="V12" i="9" s="1"/>
  <c r="W12" i="9" s="1"/>
  <c r="X12" i="9" s="1"/>
  <c r="Y12" i="9" s="1"/>
  <c r="Z12" i="9" s="1"/>
  <c r="H11" i="9"/>
  <c r="I11" i="9" s="1"/>
  <c r="J11" i="9" s="1"/>
  <c r="K11" i="9" s="1"/>
  <c r="L11" i="9" s="1"/>
  <c r="M11" i="9" s="1"/>
  <c r="N11" i="9" s="1"/>
  <c r="O11" i="9" s="1"/>
  <c r="P11" i="9" s="1"/>
  <c r="Q11" i="9" s="1"/>
  <c r="R11" i="9" s="1"/>
  <c r="S11" i="9" s="1"/>
  <c r="T11" i="9" s="1"/>
  <c r="U11" i="9" s="1"/>
  <c r="V11" i="9" s="1"/>
  <c r="W11" i="9" s="1"/>
  <c r="X11" i="9" s="1"/>
  <c r="Y11" i="9" s="1"/>
  <c r="Z11" i="9" s="1"/>
  <c r="D47" i="2"/>
  <c r="E47" i="2" s="1"/>
  <c r="F47" i="2" s="1"/>
  <c r="G47" i="2" s="1"/>
  <c r="H47" i="2" s="1"/>
  <c r="I47" i="2" s="1"/>
  <c r="J47" i="2" s="1"/>
  <c r="K47" i="2" s="1"/>
  <c r="L47" i="2" s="1"/>
  <c r="M47" i="2" s="1"/>
  <c r="N47" i="2" s="1"/>
  <c r="O47" i="2" s="1"/>
  <c r="P47" i="2" s="1"/>
  <c r="Q47" i="2" s="1"/>
  <c r="R47" i="2" s="1"/>
  <c r="S47" i="2" s="1"/>
  <c r="T47" i="2" s="1"/>
  <c r="U47" i="2" s="1"/>
  <c r="V47" i="2" s="1"/>
  <c r="X33" i="8"/>
  <c r="H33" i="8"/>
  <c r="O33" i="8"/>
  <c r="R33" i="8"/>
  <c r="U33" i="8"/>
  <c r="T28" i="8"/>
  <c r="K28" i="8"/>
  <c r="N28" i="8"/>
  <c r="Q28" i="8"/>
  <c r="T33" i="8"/>
  <c r="K33" i="8"/>
  <c r="N33" i="8"/>
  <c r="Q33" i="8"/>
  <c r="J28" i="8"/>
  <c r="M28" i="8"/>
  <c r="P33" i="8"/>
  <c r="Z33" i="8"/>
  <c r="J33" i="8"/>
  <c r="M33" i="8"/>
  <c r="L28" i="8"/>
  <c r="S28" i="8"/>
  <c r="V28" i="8"/>
  <c r="Y28" i="8"/>
  <c r="I28" i="8"/>
  <c r="L33" i="8"/>
  <c r="S33" i="8"/>
  <c r="V33" i="8"/>
  <c r="Y33" i="8"/>
  <c r="I33" i="8"/>
  <c r="C25" i="2"/>
  <c r="G6" i="9"/>
  <c r="G13" i="9"/>
  <c r="G28" i="8"/>
  <c r="G33" i="8"/>
  <c r="H6" i="9"/>
  <c r="I37" i="8"/>
  <c r="D23" i="2"/>
  <c r="D25" i="2" s="1"/>
  <c r="Q10" i="2" l="1"/>
  <c r="P20" i="2"/>
  <c r="P33" i="2" s="1"/>
  <c r="C46" i="2"/>
  <c r="C14" i="5"/>
  <c r="E41" i="2"/>
  <c r="D41" i="2"/>
  <c r="C41" i="2"/>
  <c r="C15" i="5" s="1"/>
  <c r="H13" i="9"/>
  <c r="D46" i="2" s="1"/>
  <c r="I6" i="9"/>
  <c r="J37" i="8"/>
  <c r="E23" i="2"/>
  <c r="E25" i="2" s="1"/>
  <c r="R10" i="2" l="1"/>
  <c r="Q20" i="2"/>
  <c r="Q33" i="2" s="1"/>
  <c r="C13" i="5"/>
  <c r="F41" i="2"/>
  <c r="I13" i="9"/>
  <c r="E46" i="2" s="1"/>
  <c r="J6" i="9"/>
  <c r="K37" i="8"/>
  <c r="F23" i="2"/>
  <c r="F25" i="2" s="1"/>
  <c r="H2" i="6"/>
  <c r="S10" i="2" l="1"/>
  <c r="R20" i="2"/>
  <c r="R33" i="2" s="1"/>
  <c r="G41" i="2"/>
  <c r="J13" i="9"/>
  <c r="F46" i="2" s="1"/>
  <c r="K6" i="9"/>
  <c r="L37" i="8"/>
  <c r="G23" i="2"/>
  <c r="G25" i="2" s="1"/>
  <c r="H18" i="7"/>
  <c r="H19" i="7"/>
  <c r="H20" i="7"/>
  <c r="H21" i="7"/>
  <c r="H22" i="7"/>
  <c r="H23" i="7"/>
  <c r="H17" i="7"/>
  <c r="H3" i="7"/>
  <c r="H4" i="7"/>
  <c r="H5" i="7"/>
  <c r="H6" i="7"/>
  <c r="H7" i="7"/>
  <c r="H8" i="7"/>
  <c r="H9" i="7"/>
  <c r="H10" i="7"/>
  <c r="H11" i="7"/>
  <c r="H12" i="7"/>
  <c r="H13" i="7"/>
  <c r="H2" i="7"/>
  <c r="G23" i="7"/>
  <c r="K23" i="7" s="1"/>
  <c r="J23" i="7" s="1"/>
  <c r="G22" i="7"/>
  <c r="K22" i="7" s="1"/>
  <c r="J22" i="7" s="1"/>
  <c r="G21" i="7"/>
  <c r="K21" i="7" s="1"/>
  <c r="J21" i="7" s="1"/>
  <c r="G20" i="7"/>
  <c r="K20" i="7" s="1"/>
  <c r="J20" i="7" s="1"/>
  <c r="G19" i="7"/>
  <c r="K19" i="7" s="1"/>
  <c r="J19" i="7" s="1"/>
  <c r="G18" i="7"/>
  <c r="K18" i="7" s="1"/>
  <c r="J18" i="7" s="1"/>
  <c r="G17" i="7"/>
  <c r="K17" i="7" s="1"/>
  <c r="J17" i="7" s="1"/>
  <c r="G13" i="7"/>
  <c r="K13" i="7" s="1"/>
  <c r="J13" i="7" s="1"/>
  <c r="G12" i="7"/>
  <c r="K12" i="7" s="1"/>
  <c r="J12" i="7" s="1"/>
  <c r="G11" i="7"/>
  <c r="K11" i="7" s="1"/>
  <c r="J11" i="7" s="1"/>
  <c r="G10" i="7"/>
  <c r="K10" i="7" s="1"/>
  <c r="J10" i="7" s="1"/>
  <c r="G9" i="7"/>
  <c r="K9" i="7" s="1"/>
  <c r="J9" i="7" s="1"/>
  <c r="G8" i="7"/>
  <c r="K8" i="7" s="1"/>
  <c r="J8" i="7" s="1"/>
  <c r="G7" i="7"/>
  <c r="K7" i="7" s="1"/>
  <c r="J7" i="7" s="1"/>
  <c r="G6" i="7"/>
  <c r="K6" i="7" s="1"/>
  <c r="J6" i="7" s="1"/>
  <c r="G5" i="7"/>
  <c r="K5" i="7" s="1"/>
  <c r="J5" i="7" s="1"/>
  <c r="G4" i="7"/>
  <c r="K4" i="7" s="1"/>
  <c r="J4" i="7" s="1"/>
  <c r="G3" i="7"/>
  <c r="K3" i="7" s="1"/>
  <c r="J3" i="7" s="1"/>
  <c r="K2" i="7"/>
  <c r="J2" i="7" s="1"/>
  <c r="T10" i="2" l="1"/>
  <c r="S20" i="2"/>
  <c r="S33" i="2" s="1"/>
  <c r="J14" i="7"/>
  <c r="D3" i="6" s="1"/>
  <c r="J24" i="7"/>
  <c r="D2" i="6" s="1"/>
  <c r="H41" i="2"/>
  <c r="K13" i="9"/>
  <c r="G46" i="2" s="1"/>
  <c r="L6" i="9"/>
  <c r="M37" i="8"/>
  <c r="H23" i="2"/>
  <c r="H25" i="2" s="1"/>
  <c r="H24" i="7"/>
  <c r="E3" i="6"/>
  <c r="H14" i="7"/>
  <c r="K24" i="7"/>
  <c r="H3" i="6"/>
  <c r="K14" i="7"/>
  <c r="G24" i="7"/>
  <c r="C11" i="6"/>
  <c r="B11" i="6"/>
  <c r="F3" i="6"/>
  <c r="C36" i="2" s="1"/>
  <c r="G3" i="6"/>
  <c r="C21" i="5" s="1"/>
  <c r="G2" i="6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C29" i="2"/>
  <c r="U10" i="2" l="1"/>
  <c r="T20" i="2"/>
  <c r="T33" i="2" s="1"/>
  <c r="C48" i="2"/>
  <c r="C38" i="2" s="1"/>
  <c r="C5" i="5"/>
  <c r="I41" i="2"/>
  <c r="L13" i="9"/>
  <c r="H46" i="2" s="1"/>
  <c r="M6" i="9"/>
  <c r="N37" i="8"/>
  <c r="I23" i="2"/>
  <c r="I25" i="2" s="1"/>
  <c r="V10" i="2" l="1"/>
  <c r="V20" i="2" s="1"/>
  <c r="V33" i="2" s="1"/>
  <c r="U20" i="2"/>
  <c r="U33" i="2" s="1"/>
  <c r="D48" i="2"/>
  <c r="J41" i="2"/>
  <c r="M13" i="9"/>
  <c r="I46" i="2" s="1"/>
  <c r="N6" i="9"/>
  <c r="O37" i="8"/>
  <c r="J23" i="2"/>
  <c r="J25" i="2" s="1"/>
  <c r="C4" i="2"/>
  <c r="C9" i="2" s="1"/>
  <c r="C19" i="2" l="1"/>
  <c r="C27" i="2" s="1"/>
  <c r="E48" i="2"/>
  <c r="D38" i="2"/>
  <c r="K41" i="2"/>
  <c r="N13" i="9"/>
  <c r="J46" i="2" s="1"/>
  <c r="O6" i="9"/>
  <c r="P37" i="8"/>
  <c r="K23" i="2"/>
  <c r="K25" i="2" s="1"/>
  <c r="D4" i="2"/>
  <c r="D39" i="2"/>
  <c r="C39" i="2"/>
  <c r="F39" i="2"/>
  <c r="E39" i="2"/>
  <c r="C32" i="2" l="1"/>
  <c r="C50" i="2" s="1"/>
  <c r="E4" i="2"/>
  <c r="D9" i="2"/>
  <c r="D19" i="2" s="1"/>
  <c r="F48" i="2"/>
  <c r="E38" i="2"/>
  <c r="L41" i="2"/>
  <c r="O13" i="9"/>
  <c r="K46" i="2" s="1"/>
  <c r="P6" i="9"/>
  <c r="Q37" i="8"/>
  <c r="L23" i="2"/>
  <c r="L25" i="2" s="1"/>
  <c r="D27" i="2" l="1"/>
  <c r="D32" i="2"/>
  <c r="D50" i="2" s="1"/>
  <c r="F4" i="2"/>
  <c r="E9" i="2"/>
  <c r="E19" i="2" s="1"/>
  <c r="G48" i="2"/>
  <c r="F38" i="2"/>
  <c r="M41" i="2"/>
  <c r="P13" i="9"/>
  <c r="L46" i="2" s="1"/>
  <c r="Q6" i="9"/>
  <c r="R37" i="8"/>
  <c r="M23" i="2"/>
  <c r="M25" i="2" s="1"/>
  <c r="E27" i="2" l="1"/>
  <c r="E32" i="2"/>
  <c r="E50" i="2" s="1"/>
  <c r="G4" i="2"/>
  <c r="F9" i="2"/>
  <c r="F19" i="2" s="1"/>
  <c r="H48" i="2"/>
  <c r="G38" i="2"/>
  <c r="N41" i="2"/>
  <c r="Q13" i="9"/>
  <c r="M46" i="2" s="1"/>
  <c r="R6" i="9"/>
  <c r="S37" i="8"/>
  <c r="N23" i="2"/>
  <c r="N25" i="2" s="1"/>
  <c r="F27" i="2" l="1"/>
  <c r="F32" i="2"/>
  <c r="F50" i="2" s="1"/>
  <c r="H4" i="2"/>
  <c r="G9" i="2"/>
  <c r="G19" i="2" s="1"/>
  <c r="I48" i="2"/>
  <c r="H38" i="2"/>
  <c r="O41" i="2"/>
  <c r="R13" i="9"/>
  <c r="N46" i="2" s="1"/>
  <c r="S6" i="9"/>
  <c r="T37" i="8"/>
  <c r="O23" i="2"/>
  <c r="O25" i="2" s="1"/>
  <c r="G27" i="2" l="1"/>
  <c r="G32" i="2"/>
  <c r="G50" i="2" s="1"/>
  <c r="I4" i="2"/>
  <c r="H9" i="2"/>
  <c r="H19" i="2" s="1"/>
  <c r="J48" i="2"/>
  <c r="I38" i="2"/>
  <c r="P41" i="2"/>
  <c r="S13" i="9"/>
  <c r="O46" i="2" s="1"/>
  <c r="T6" i="9"/>
  <c r="U37" i="8"/>
  <c r="P23" i="2"/>
  <c r="P25" i="2" s="1"/>
  <c r="H27" i="2" l="1"/>
  <c r="H32" i="2"/>
  <c r="H50" i="2" s="1"/>
  <c r="J4" i="2"/>
  <c r="I9" i="2"/>
  <c r="I19" i="2" s="1"/>
  <c r="K48" i="2"/>
  <c r="J38" i="2"/>
  <c r="Q41" i="2"/>
  <c r="T13" i="9"/>
  <c r="P46" i="2" s="1"/>
  <c r="U6" i="9"/>
  <c r="V37" i="8"/>
  <c r="Q23" i="2"/>
  <c r="Q25" i="2" s="1"/>
  <c r="I27" i="2" l="1"/>
  <c r="I32" i="2"/>
  <c r="I50" i="2" s="1"/>
  <c r="K4" i="2"/>
  <c r="J9" i="2"/>
  <c r="J19" i="2" s="1"/>
  <c r="L48" i="2"/>
  <c r="K38" i="2"/>
  <c r="R41" i="2"/>
  <c r="U13" i="9"/>
  <c r="Q46" i="2" s="1"/>
  <c r="V6" i="9"/>
  <c r="W37" i="8"/>
  <c r="R23" i="2"/>
  <c r="R25" i="2" s="1"/>
  <c r="J27" i="2" l="1"/>
  <c r="J32" i="2"/>
  <c r="J50" i="2" s="1"/>
  <c r="L4" i="2"/>
  <c r="K9" i="2"/>
  <c r="K19" i="2" s="1"/>
  <c r="M48" i="2"/>
  <c r="L38" i="2"/>
  <c r="S41" i="2"/>
  <c r="V13" i="9"/>
  <c r="R46" i="2" s="1"/>
  <c r="W6" i="9"/>
  <c r="X37" i="8"/>
  <c r="S23" i="2"/>
  <c r="S25" i="2" s="1"/>
  <c r="K27" i="2" l="1"/>
  <c r="K32" i="2"/>
  <c r="K50" i="2" s="1"/>
  <c r="M4" i="2"/>
  <c r="L9" i="2"/>
  <c r="L19" i="2" s="1"/>
  <c r="N48" i="2"/>
  <c r="M38" i="2"/>
  <c r="T41" i="2"/>
  <c r="W13" i="9"/>
  <c r="S46" i="2" s="1"/>
  <c r="X6" i="9"/>
  <c r="Y37" i="8"/>
  <c r="T23" i="2"/>
  <c r="T25" i="2" s="1"/>
  <c r="L27" i="2" l="1"/>
  <c r="L32" i="2"/>
  <c r="L50" i="2" s="1"/>
  <c r="N4" i="2"/>
  <c r="M9" i="2"/>
  <c r="M19" i="2" s="1"/>
  <c r="O48" i="2"/>
  <c r="N38" i="2"/>
  <c r="U41" i="2"/>
  <c r="X13" i="9"/>
  <c r="T46" i="2" s="1"/>
  <c r="Z6" i="9"/>
  <c r="Y6" i="9"/>
  <c r="Z37" i="8"/>
  <c r="V23" i="2" s="1"/>
  <c r="V25" i="2" s="1"/>
  <c r="U23" i="2"/>
  <c r="U25" i="2" s="1"/>
  <c r="M27" i="2" l="1"/>
  <c r="M32" i="2"/>
  <c r="M50" i="2" s="1"/>
  <c r="O4" i="2"/>
  <c r="N9" i="2"/>
  <c r="N19" i="2" s="1"/>
  <c r="P48" i="2"/>
  <c r="O38" i="2"/>
  <c r="V41" i="2"/>
  <c r="Z13" i="9"/>
  <c r="V46" i="2" s="1"/>
  <c r="Y13" i="9"/>
  <c r="U46" i="2" s="1"/>
  <c r="N27" i="2" l="1"/>
  <c r="N32" i="2"/>
  <c r="N50" i="2" s="1"/>
  <c r="P4" i="2"/>
  <c r="O9" i="2"/>
  <c r="O19" i="2" s="1"/>
  <c r="Q48" i="2"/>
  <c r="P38" i="2"/>
  <c r="O27" i="2" l="1"/>
  <c r="O32" i="2"/>
  <c r="O50" i="2" s="1"/>
  <c r="Q4" i="2"/>
  <c r="P9" i="2"/>
  <c r="P19" i="2" s="1"/>
  <c r="R48" i="2"/>
  <c r="Q38" i="2"/>
  <c r="P27" i="2" l="1"/>
  <c r="P32" i="2"/>
  <c r="P50" i="2" s="1"/>
  <c r="R4" i="2"/>
  <c r="Q9" i="2"/>
  <c r="Q19" i="2" s="1"/>
  <c r="S48" i="2"/>
  <c r="R38" i="2"/>
  <c r="Q27" i="2" l="1"/>
  <c r="Q32" i="2"/>
  <c r="Q50" i="2" s="1"/>
  <c r="S4" i="2"/>
  <c r="R9" i="2"/>
  <c r="R19" i="2" s="1"/>
  <c r="T48" i="2"/>
  <c r="S38" i="2"/>
  <c r="R27" i="2" l="1"/>
  <c r="R32" i="2"/>
  <c r="R50" i="2" s="1"/>
  <c r="T4" i="2"/>
  <c r="S9" i="2"/>
  <c r="S19" i="2" s="1"/>
  <c r="U48" i="2"/>
  <c r="T38" i="2"/>
  <c r="S27" i="2" l="1"/>
  <c r="S32" i="2"/>
  <c r="S50" i="2" s="1"/>
  <c r="U4" i="2"/>
  <c r="T9" i="2"/>
  <c r="T19" i="2" s="1"/>
  <c r="V48" i="2"/>
  <c r="V38" i="2" s="1"/>
  <c r="U38" i="2"/>
  <c r="T27" i="2" l="1"/>
  <c r="T32" i="2"/>
  <c r="T50" i="2" s="1"/>
  <c r="V4" i="2"/>
  <c r="U9" i="2"/>
  <c r="U19" i="2" s="1"/>
  <c r="U27" i="2" l="1"/>
  <c r="U32" i="2"/>
  <c r="U50" i="2" s="1"/>
  <c r="V9" i="2"/>
  <c r="V19" i="2" s="1"/>
  <c r="D4" i="5"/>
  <c r="C11" i="2"/>
  <c r="C14" i="2" s="1"/>
  <c r="V27" i="2" l="1"/>
  <c r="D7" i="5" s="1"/>
  <c r="E7" i="5" s="1"/>
  <c r="V32" i="2"/>
  <c r="V50" i="2" s="1"/>
  <c r="D11" i="5" s="1"/>
  <c r="E11" i="5" s="1"/>
  <c r="E4" i="5"/>
  <c r="D11" i="2"/>
  <c r="E11" i="2" l="1"/>
  <c r="D14" i="2"/>
  <c r="F11" i="2" l="1"/>
  <c r="E14" i="2"/>
  <c r="G11" i="2" l="1"/>
  <c r="F14" i="2"/>
  <c r="H11" i="2" l="1"/>
  <c r="G14" i="2"/>
  <c r="I11" i="2" l="1"/>
  <c r="H14" i="2"/>
  <c r="J11" i="2" l="1"/>
  <c r="I14" i="2"/>
  <c r="K11" i="2" l="1"/>
  <c r="J14" i="2"/>
  <c r="L11" i="2" l="1"/>
  <c r="K14" i="2"/>
  <c r="M11" i="2" l="1"/>
  <c r="L14" i="2"/>
  <c r="N11" i="2" l="1"/>
  <c r="M14" i="2"/>
  <c r="O11" i="2" l="1"/>
  <c r="N14" i="2"/>
  <c r="P11" i="2" l="1"/>
  <c r="O14" i="2"/>
  <c r="Q11" i="2" l="1"/>
  <c r="P14" i="2"/>
  <c r="R11" i="2" l="1"/>
  <c r="Q14" i="2"/>
  <c r="S11" i="2" l="1"/>
  <c r="R14" i="2"/>
  <c r="T11" i="2" l="1"/>
  <c r="S14" i="2"/>
  <c r="U11" i="2" l="1"/>
  <c r="T14" i="2"/>
  <c r="V11" i="2" l="1"/>
  <c r="V14" i="2" s="1"/>
  <c r="U14" i="2"/>
  <c r="D5" i="5" l="1"/>
  <c r="E5" i="5" s="1"/>
</calcChain>
</file>

<file path=xl/sharedStrings.xml><?xml version="1.0" encoding="utf-8"?>
<sst xmlns="http://schemas.openxmlformats.org/spreadsheetml/2006/main" count="279" uniqueCount="189">
  <si>
    <t>Počet detí</t>
  </si>
  <si>
    <t>Cieľová stanica</t>
  </si>
  <si>
    <t>Mankovce 102</t>
  </si>
  <si>
    <t>Sľažany 122</t>
  </si>
  <si>
    <t>Martin nad Žitavou 110</t>
  </si>
  <si>
    <t>Velčice</t>
  </si>
  <si>
    <t>Hostie 86</t>
  </si>
  <si>
    <t>Litoměřická 32, Topoľčianky</t>
  </si>
  <si>
    <t xml:space="preserve">Školská 232, Slepčany </t>
  </si>
  <si>
    <t>Školská 608, Tesárske Mlyňany</t>
  </si>
  <si>
    <t>Školská 2, Čierne Kľačany</t>
  </si>
  <si>
    <t>Pribinova 1,Zlaté Moravce</t>
  </si>
  <si>
    <t>Čaradice 156</t>
  </si>
  <si>
    <t>Školská 416, Tekovské Nemce</t>
  </si>
  <si>
    <t>Zlate Moravce</t>
  </si>
  <si>
    <t>Východzia stanica</t>
  </si>
  <si>
    <t>Nová 203, Kuklov</t>
  </si>
  <si>
    <t>Štúrova 1115,Šaštín Stráže</t>
  </si>
  <si>
    <t>Smolinské 407</t>
  </si>
  <si>
    <t>Koválov 216</t>
  </si>
  <si>
    <t>Dojč 137</t>
  </si>
  <si>
    <t>Šajdíkove Humence 102</t>
  </si>
  <si>
    <t>Školská 33, Smrdáky</t>
  </si>
  <si>
    <t>V. P. Tótha 32, Senica</t>
  </si>
  <si>
    <t>Častkov 130</t>
  </si>
  <si>
    <t>Sobotište 317</t>
  </si>
  <si>
    <t>Prietrž 138</t>
  </si>
  <si>
    <t>Sadová 620,Senica</t>
  </si>
  <si>
    <t>Športová 259, Hlboké</t>
  </si>
  <si>
    <t>Komenského 959, Senica</t>
  </si>
  <si>
    <t>Hradište pod Vrátnom 44</t>
  </si>
  <si>
    <t>Školská 1, Jablonica</t>
  </si>
  <si>
    <t>Výhony 11, Osuské</t>
  </si>
  <si>
    <t>Plavecký Peter 89</t>
  </si>
  <si>
    <t>Cerová 277</t>
  </si>
  <si>
    <t>Prievaly 187</t>
  </si>
  <si>
    <t>Senica a okolie</t>
  </si>
  <si>
    <t>Cena za km</t>
  </si>
  <si>
    <t>Zlaté Moravce</t>
  </si>
  <si>
    <t>Senica</t>
  </si>
  <si>
    <t>CF</t>
  </si>
  <si>
    <t>Ročná platba súkromníkovi</t>
  </si>
  <si>
    <t>Indexácia</t>
  </si>
  <si>
    <t>Diskontná sadzba</t>
  </si>
  <si>
    <t>Nulový scenár</t>
  </si>
  <si>
    <t>NPV</t>
  </si>
  <si>
    <t>Ročné náklady na malé školy</t>
  </si>
  <si>
    <t>Ročné náklady (CF)</t>
  </si>
  <si>
    <t>Ročné náklady na lístky</t>
  </si>
  <si>
    <t>Preplácané lístky</t>
  </si>
  <si>
    <t>Prenájom</t>
  </si>
  <si>
    <t>Vlastné autobusy</t>
  </si>
  <si>
    <t>Prevádzkové náklady</t>
  </si>
  <si>
    <t>Kapitálové náklady</t>
  </si>
  <si>
    <t>Počet vodičov</t>
  </si>
  <si>
    <t>Mzdové náklady</t>
  </si>
  <si>
    <t>Kapitálové nákaldy</t>
  </si>
  <si>
    <t>Odpisy</t>
  </si>
  <si>
    <t>Počet km</t>
  </si>
  <si>
    <t>Úspora</t>
  </si>
  <si>
    <t>CAPEX</t>
  </si>
  <si>
    <t>Cena za liter (eur)</t>
  </si>
  <si>
    <t>Spotreba</t>
  </si>
  <si>
    <t>Hrubá mzda vodiča s odmenami</t>
  </si>
  <si>
    <t>Veľký bus</t>
  </si>
  <si>
    <t>Malý bus</t>
  </si>
  <si>
    <t>Model</t>
  </si>
  <si>
    <t xml:space="preserve">ISUZU Novo Ultra                                  </t>
  </si>
  <si>
    <t xml:space="preserve">Mercedes Benz Tourismo                      </t>
  </si>
  <si>
    <t>Počet miest na sedenie</t>
  </si>
  <si>
    <t>Jednotková cena bez DPH</t>
  </si>
  <si>
    <t>Spotreba (l na 100 mk)</t>
  </si>
  <si>
    <t>Zlaté Moravce (počet)</t>
  </si>
  <si>
    <t>Senica 
(počet)</t>
  </si>
  <si>
    <t>Poistné</t>
  </si>
  <si>
    <t>Diesel</t>
  </si>
  <si>
    <t>Kwh</t>
  </si>
  <si>
    <t>HP</t>
  </si>
  <si>
    <t>Objem</t>
  </si>
  <si>
    <t>Váha</t>
  </si>
  <si>
    <t>km</t>
  </si>
  <si>
    <t>Kuklov</t>
  </si>
  <si>
    <t>Šaštín-Stráže</t>
  </si>
  <si>
    <t>Smolinské</t>
  </si>
  <si>
    <t>Koválov</t>
  </si>
  <si>
    <t>Dojč</t>
  </si>
  <si>
    <t>Šajdíkove Humence</t>
  </si>
  <si>
    <t>malo spojeni</t>
  </si>
  <si>
    <t>Smrdáky</t>
  </si>
  <si>
    <t>Častkov</t>
  </si>
  <si>
    <t>Sobotište</t>
  </si>
  <si>
    <t>10+9</t>
  </si>
  <si>
    <t>prestup v Senici</t>
  </si>
  <si>
    <t>Prietrž</t>
  </si>
  <si>
    <t>Hlboké</t>
  </si>
  <si>
    <t>Hradište pod Vrátnom</t>
  </si>
  <si>
    <t>Jablonica</t>
  </si>
  <si>
    <t>Osuské</t>
  </si>
  <si>
    <t>Plavecký Peter</t>
  </si>
  <si>
    <t>Cerová</t>
  </si>
  <si>
    <t>Prievaly</t>
  </si>
  <si>
    <t>Mankovce</t>
  </si>
  <si>
    <t>Sľažany</t>
  </si>
  <si>
    <t>Martin nad Žitavou</t>
  </si>
  <si>
    <t>Hostie</t>
  </si>
  <si>
    <t>Topoľčianky</t>
  </si>
  <si>
    <t>Slepčany</t>
  </si>
  <si>
    <t>Tesárske Mlyňany</t>
  </si>
  <si>
    <t>Čierne Kľačany</t>
  </si>
  <si>
    <t>Čaradice</t>
  </si>
  <si>
    <t>Tekovské Nemce</t>
  </si>
  <si>
    <t>Počet školských dní</t>
  </si>
  <si>
    <t>PZP</t>
  </si>
  <si>
    <t xml:space="preserve"> Cena lístkov denne (eur)</t>
  </si>
  <si>
    <t>Tržby z dopravy</t>
  </si>
  <si>
    <t>Náhrada straty</t>
  </si>
  <si>
    <r>
      <t>Mercedes Benz Sprinter 519 CDI</t>
    </r>
    <r>
      <rPr>
        <sz val="11"/>
        <color rgb="FF1F497D"/>
        <rFont val="Arial Narrow"/>
        <family val="2"/>
        <charset val="238"/>
      </rPr>
      <t xml:space="preserve">          </t>
    </r>
  </si>
  <si>
    <t>SAD Trenčín 2014</t>
  </si>
  <si>
    <t>Nominálny rast miezd</t>
  </si>
  <si>
    <t>Cena v hotovosti</t>
  </si>
  <si>
    <t>Cena z čipovej karty</t>
  </si>
  <si>
    <t>Stredný bus</t>
  </si>
  <si>
    <t>Havarijné  - bez krádeže</t>
  </si>
  <si>
    <t>Havaríjne - s krádežou</t>
  </si>
  <si>
    <t>Náklad na kilometer</t>
  </si>
  <si>
    <t>Marža</t>
  </si>
  <si>
    <t>Zachádzky</t>
  </si>
  <si>
    <t>PZP + Havaríjne</t>
  </si>
  <si>
    <t>20 osôb</t>
  </si>
  <si>
    <t>25 osôb</t>
  </si>
  <si>
    <t>50 osôb</t>
  </si>
  <si>
    <t>Kapacita</t>
  </si>
  <si>
    <t>Počet km za rok</t>
  </si>
  <si>
    <t>Okres</t>
  </si>
  <si>
    <t>Typ</t>
  </si>
  <si>
    <t>Senica (počet)</t>
  </si>
  <si>
    <t>Výdavky na údržbu a opravy ako % z obstarávacej ceny autobusu</t>
  </si>
  <si>
    <t>Typ 1</t>
  </si>
  <si>
    <t>Typ 2</t>
  </si>
  <si>
    <t>Typ 3</t>
  </si>
  <si>
    <t>Senica - výdavky na údržbu a opravu</t>
  </si>
  <si>
    <t>Zlaté Morave - výdavky na údržbu a opravu</t>
  </si>
  <si>
    <t xml:space="preserve">Zlaté Moravce </t>
  </si>
  <si>
    <t>Prepočítaný počet km</t>
  </si>
  <si>
    <t>Typ autobusu</t>
  </si>
  <si>
    <t>Prevádzkové náklady (prvý rok)</t>
  </si>
  <si>
    <t>Výdavky na km</t>
  </si>
  <si>
    <t>Podiel ceny ropy na cene nafty</t>
  </si>
  <si>
    <t>Poistenie</t>
  </si>
  <si>
    <t>Údržba a opravy</t>
  </si>
  <si>
    <t>Diskontovaná úspora</t>
  </si>
  <si>
    <t>Počet kilometrov vrátane zachádzok</t>
  </si>
  <si>
    <t xml:space="preserve"> Cena lístkov s dotáciou (eur)</t>
  </si>
  <si>
    <t>Zohľadnenie dotácie pre deti ktore pojdu novymi busmi (nad 20)</t>
  </si>
  <si>
    <t>Vlastné busy</t>
  </si>
  <si>
    <t>Diskont</t>
  </si>
  <si>
    <t>Nerobiť nič</t>
  </si>
  <si>
    <t>Zmena CAPEX</t>
  </si>
  <si>
    <t>Zmena udržby a opravy</t>
  </si>
  <si>
    <t>CAPEX (vlastné autobusy)</t>
  </si>
  <si>
    <t>OPEX (vlastné autobusy)</t>
  </si>
  <si>
    <t>Zachádzky (celkovo)</t>
  </si>
  <si>
    <t>Cena za km (prenájom)</t>
  </si>
  <si>
    <t>Zachádzky (prenájom a vlastné autobusy)</t>
  </si>
  <si>
    <t>Náklady na celkovú prevádzku s maržou</t>
  </si>
  <si>
    <t>BASELINE</t>
  </si>
  <si>
    <t>Inflácia</t>
  </si>
  <si>
    <t>Počet km deň</t>
  </si>
  <si>
    <t>Arriva Trnava 2013</t>
  </si>
  <si>
    <t>Celkové náklady na malé školy</t>
  </si>
  <si>
    <t>Úspora pri zavretí škôl</t>
  </si>
  <si>
    <t>Náklady na dovybavenie škôl</t>
  </si>
  <si>
    <t>Náklady na dovybavenie</t>
  </si>
  <si>
    <t>Celkové náklady na školy</t>
  </si>
  <si>
    <t>Veľkosť autobusu</t>
  </si>
  <si>
    <t>Od</t>
  </si>
  <si>
    <t>Kam</t>
  </si>
  <si>
    <t>Zavedenie školských autobusov v okresoch Senica a Zlaté Moravce a zrušenie malých škôl</t>
  </si>
  <si>
    <t>Ex- ante hodnotenie politiky</t>
  </si>
  <si>
    <t>Alternatívy riešenia problému:</t>
  </si>
  <si>
    <t xml:space="preserve">Z nasledujúcich alternatív boli uvažované: </t>
  </si>
  <si>
    <t xml:space="preserve">2.    „Preplácané lístky“: využitie súčasnej prímestskej dopravy na prepravu žiakov a preplácanie lístkov </t>
  </si>
  <si>
    <t xml:space="preserve">3.    „Prenájom“: outsourcing služby súkromnému prevádzkovateľovi a zavedenie školských autobusov </t>
  </si>
  <si>
    <t xml:space="preserve">4.    „Vlastné autobusy“ nákup a prevádzka školských autobusov v rámci okresu </t>
  </si>
  <si>
    <r>
      <t xml:space="preserve">Autori: </t>
    </r>
    <r>
      <rPr>
        <sz val="11"/>
        <color rgb="FF000000"/>
        <rFont val="Arial Narrow"/>
        <family val="2"/>
        <charset val="238"/>
      </rPr>
      <t>Martin Haluš, Daniela Zápražná</t>
    </r>
  </si>
  <si>
    <r>
      <t>Riešený problém:</t>
    </r>
    <r>
      <rPr>
        <sz val="11"/>
        <color rgb="FF000000"/>
        <rFont val="Arial Narrow"/>
        <family val="2"/>
        <charset val="238"/>
      </rPr>
      <t xml:space="preserve"> Finančne neefektívna alokácia žiakov v malých školách, ktorých možno dopraviť do najbližšej väčšej školy do 25 minút (bez uvažovania s časom potrebným na nástup/výstup žiakov)</t>
    </r>
  </si>
  <si>
    <r>
      <t>1.    „</t>
    </r>
    <r>
      <rPr>
        <i/>
        <sz val="11"/>
        <color rgb="FF000000"/>
        <rFont val="Arial Narrow"/>
        <family val="2"/>
        <charset val="238"/>
      </rPr>
      <t>Nerobiť nič</t>
    </r>
    <r>
      <rPr>
        <sz val="11"/>
        <color rgb="FF000000"/>
        <rFont val="Arial Narrow"/>
        <family val="2"/>
        <charset val="238"/>
      </rPr>
      <t>“</t>
    </r>
  </si>
  <si>
    <r>
      <t>Efekty:</t>
    </r>
    <r>
      <rPr>
        <sz val="11"/>
        <color rgb="FF000000"/>
        <rFont val="Arial Narrow"/>
        <family val="2"/>
        <charset val="238"/>
      </rPr>
      <t xml:space="preserve"> Monetárne efekty podľa variantu predstavujú náklady na lístky, platbu súkromníkovi alebo náklady na nákup a prevádzku autobusov. Projekt prinesie úsporu na prevádzke zatvorených malých škôl a kompenzačnom príspevku pre malé školy.</t>
    </r>
  </si>
  <si>
    <r>
      <t xml:space="preserve">Analýza citlivosti: </t>
    </r>
    <r>
      <rPr>
        <sz val="11"/>
        <color rgb="FF000000"/>
        <rFont val="Arial Narrow"/>
        <family val="2"/>
        <charset val="238"/>
      </rPr>
      <t>Boli testované alternatívne scenáre s rôznou výškou diskontu, inflácie, ceny za km pri prenájme súkromníkovi, miere zachádzok a teda najazdených kilometrov, a nárastu či poklesu kapitálových a prevádzkových nákladov. Na kompletnú analýzu citlivosti bola priložená kalkulačka v Exceli kde možno navoliť ľubovoľnú kombináciu vstupov a kontrolovať všetky výpočty.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</si>
</sst>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0.0%"/>
    <numFmt numFmtId="165" formatCode="#,##0.0"/>
    <numFmt numFmtId="166" formatCode="#,##0.0000"/>
    <numFmt numFmtId="167" formatCode="_-* #,##0\ _€_-;\-* #,##0\ _€_-;_-* &quot;-&quot;??\ _€_-;_-@_-"/>
    <numFmt numFmtId="168" formatCode="#,##0.000"/>
    <numFmt numFmtId="169" formatCode="0.0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u/>
      <sz val="11"/>
      <color theme="10"/>
      <name val="Arial Narrow"/>
      <family val="2"/>
      <charset val="238"/>
    </font>
    <font>
      <sz val="11"/>
      <color rgb="FF1F497D"/>
      <name val="Arial Narrow"/>
      <family val="2"/>
      <charset val="238"/>
    </font>
    <font>
      <sz val="11"/>
      <name val="Arial Narrow"/>
      <family val="2"/>
      <charset val="238"/>
    </font>
    <font>
      <i/>
      <sz val="11"/>
      <color theme="1"/>
      <name val="Arial Narrow"/>
      <family val="2"/>
      <charset val="238"/>
    </font>
    <font>
      <i/>
      <sz val="11"/>
      <name val="Arial Narrow"/>
      <family val="2"/>
      <charset val="238"/>
    </font>
    <font>
      <b/>
      <sz val="26"/>
      <color theme="1"/>
      <name val="Arial Narrow"/>
      <family val="2"/>
      <charset val="238"/>
    </font>
    <font>
      <sz val="8"/>
      <color rgb="FF000000"/>
      <name val="Segoe UI"/>
      <family val="2"/>
      <charset val="238"/>
    </font>
    <font>
      <sz val="11"/>
      <color theme="0"/>
      <name val="Arial Narrow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1"/>
      <color rgb="FF3A3737"/>
      <name val="Arial Narrow"/>
      <family val="2"/>
      <charset val="238"/>
    </font>
    <font>
      <b/>
      <sz val="11"/>
      <color rgb="FF000000"/>
      <name val="Arial Narrow"/>
      <family val="2"/>
      <charset val="238"/>
    </font>
    <font>
      <i/>
      <sz val="11"/>
      <color rgb="FF000000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AD3F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18" fillId="0" borderId="0" applyFont="0" applyFill="0" applyBorder="0" applyAlignment="0" applyProtection="0"/>
  </cellStyleXfs>
  <cellXfs count="245">
    <xf numFmtId="0" fontId="0" fillId="0" borderId="0" xfId="0"/>
    <xf numFmtId="0" fontId="4" fillId="2" borderId="0" xfId="0" applyFont="1" applyFill="1" applyBorder="1"/>
    <xf numFmtId="0" fontId="0" fillId="0" borderId="1" xfId="0" applyBorder="1"/>
    <xf numFmtId="3" fontId="0" fillId="0" borderId="0" xfId="0" applyNumberFormat="1"/>
    <xf numFmtId="0" fontId="0" fillId="0" borderId="0" xfId="0" applyBorder="1"/>
    <xf numFmtId="0" fontId="6" fillId="0" borderId="0" xfId="0" applyFont="1"/>
    <xf numFmtId="0" fontId="3" fillId="3" borderId="1" xfId="0" applyFont="1" applyFill="1" applyBorder="1"/>
    <xf numFmtId="0" fontId="7" fillId="2" borderId="0" xfId="0" applyFont="1" applyFill="1" applyBorder="1"/>
    <xf numFmtId="14" fontId="6" fillId="0" borderId="0" xfId="0" applyNumberFormat="1" applyFont="1"/>
    <xf numFmtId="0" fontId="0" fillId="0" borderId="2" xfId="0" applyBorder="1"/>
    <xf numFmtId="3" fontId="0" fillId="0" borderId="0" xfId="0" applyNumberFormat="1" applyBorder="1"/>
    <xf numFmtId="3" fontId="0" fillId="0" borderId="0" xfId="0" applyNumberFormat="1" applyBorder="1" applyAlignment="1">
      <alignment horizontal="right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 indent="2"/>
    </xf>
    <xf numFmtId="0" fontId="11" fillId="0" borderId="1" xfId="0" applyFont="1" applyBorder="1" applyAlignment="1">
      <alignment horizontal="left" vertical="center" indent="2"/>
    </xf>
    <xf numFmtId="3" fontId="6" fillId="0" borderId="3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3" fontId="10" fillId="0" borderId="0" xfId="0" applyNumberFormat="1" applyFont="1" applyBorder="1" applyAlignment="1">
      <alignment horizontal="center" vertical="center"/>
    </xf>
    <xf numFmtId="3" fontId="1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3" fontId="12" fillId="0" borderId="1" xfId="0" applyNumberFormat="1" applyFont="1" applyBorder="1" applyAlignment="1">
      <alignment horizontal="center" vertical="center"/>
    </xf>
    <xf numFmtId="3" fontId="10" fillId="3" borderId="0" xfId="0" applyNumberFormat="1" applyFont="1" applyFill="1" applyBorder="1" applyAlignment="1">
      <alignment horizontal="center" vertical="center"/>
    </xf>
    <xf numFmtId="4" fontId="10" fillId="3" borderId="2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/>
    <xf numFmtId="0" fontId="3" fillId="0" borderId="1" xfId="0" applyFont="1" applyBorder="1" applyAlignment="1">
      <alignment vertical="center"/>
    </xf>
    <xf numFmtId="3" fontId="10" fillId="0" borderId="3" xfId="0" applyNumberFormat="1" applyFont="1" applyBorder="1" applyAlignment="1">
      <alignment horizontal="center" vertical="center"/>
    </xf>
    <xf numFmtId="3" fontId="10" fillId="3" borderId="0" xfId="0" applyNumberFormat="1" applyFont="1" applyFill="1" applyAlignment="1">
      <alignment horizontal="center" vertical="center"/>
    </xf>
    <xf numFmtId="3" fontId="10" fillId="3" borderId="1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0" fontId="16" fillId="0" borderId="0" xfId="0" applyFont="1"/>
    <xf numFmtId="0" fontId="1" fillId="0" borderId="0" xfId="0" applyFont="1"/>
    <xf numFmtId="0" fontId="1" fillId="0" borderId="0" xfId="0" applyFont="1" applyBorder="1" applyAlignment="1">
      <alignment vertical="center"/>
    </xf>
    <xf numFmtId="9" fontId="10" fillId="3" borderId="0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9" fontId="10" fillId="3" borderId="1" xfId="0" applyNumberFormat="1" applyFont="1" applyFill="1" applyBorder="1" applyAlignment="1">
      <alignment horizontal="center" vertical="center"/>
    </xf>
    <xf numFmtId="1" fontId="0" fillId="0" borderId="0" xfId="0" applyNumberFormat="1"/>
    <xf numFmtId="3" fontId="6" fillId="0" borderId="0" xfId="0" applyNumberFormat="1" applyFont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/>
    </xf>
    <xf numFmtId="168" fontId="12" fillId="3" borderId="0" xfId="0" applyNumberFormat="1" applyFont="1" applyFill="1" applyBorder="1" applyAlignment="1">
      <alignment horizontal="center" vertical="center"/>
    </xf>
    <xf numFmtId="0" fontId="0" fillId="0" borderId="0" xfId="0" applyFill="1"/>
    <xf numFmtId="3" fontId="15" fillId="0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 indent="4"/>
    </xf>
    <xf numFmtId="0" fontId="12" fillId="3" borderId="0" xfId="0" applyNumberFormat="1" applyFont="1" applyFill="1" applyBorder="1" applyAlignment="1">
      <alignment horizontal="center" vertical="center"/>
    </xf>
    <xf numFmtId="9" fontId="0" fillId="0" borderId="0" xfId="0" applyNumberFormat="1"/>
    <xf numFmtId="1" fontId="1" fillId="3" borderId="0" xfId="0" applyNumberFormat="1" applyFont="1" applyFill="1"/>
    <xf numFmtId="1" fontId="1" fillId="3" borderId="1" xfId="0" applyNumberFormat="1" applyFont="1" applyFill="1" applyBorder="1"/>
    <xf numFmtId="9" fontId="12" fillId="0" borderId="0" xfId="0" applyNumberFormat="1" applyFont="1" applyFill="1" applyBorder="1" applyAlignment="1">
      <alignment horizontal="center" vertical="center"/>
    </xf>
    <xf numFmtId="10" fontId="0" fillId="0" borderId="0" xfId="0" applyNumberFormat="1"/>
    <xf numFmtId="3" fontId="1" fillId="2" borderId="0" xfId="0" applyNumberFormat="1" applyFont="1" applyFill="1"/>
    <xf numFmtId="3" fontId="6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/>
    <xf numFmtId="3" fontId="6" fillId="2" borderId="0" xfId="0" applyNumberFormat="1" applyFont="1" applyFill="1" applyBorder="1" applyAlignment="1">
      <alignment vertical="center"/>
    </xf>
    <xf numFmtId="9" fontId="1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3" fontId="1" fillId="2" borderId="1" xfId="0" applyNumberFormat="1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164" fontId="3" fillId="3" borderId="10" xfId="0" applyNumberFormat="1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9" fontId="3" fillId="3" borderId="10" xfId="0" applyNumberFormat="1" applyFont="1" applyFill="1" applyBorder="1" applyAlignment="1">
      <alignment horizontal="center"/>
    </xf>
    <xf numFmtId="0" fontId="3" fillId="3" borderId="10" xfId="0" applyNumberFormat="1" applyFont="1" applyFill="1" applyBorder="1" applyAlignment="1">
      <alignment horizontal="center"/>
    </xf>
    <xf numFmtId="0" fontId="1" fillId="2" borderId="1" xfId="0" applyFont="1" applyFill="1" applyBorder="1"/>
    <xf numFmtId="3" fontId="1" fillId="2" borderId="0" xfId="0" applyNumberFormat="1" applyFont="1" applyFill="1" applyBorder="1" applyAlignment="1">
      <alignment vertical="center"/>
    </xf>
    <xf numFmtId="3" fontId="1" fillId="2" borderId="0" xfId="0" applyNumberFormat="1" applyFont="1" applyFill="1" applyBorder="1"/>
    <xf numFmtId="164" fontId="3" fillId="2" borderId="10" xfId="0" applyNumberFormat="1" applyFont="1" applyFill="1" applyBorder="1" applyAlignment="1">
      <alignment horizontal="center"/>
    </xf>
    <xf numFmtId="0" fontId="3" fillId="2" borderId="10" xfId="0" applyNumberFormat="1" applyFont="1" applyFill="1" applyBorder="1" applyAlignment="1">
      <alignment horizontal="center"/>
    </xf>
    <xf numFmtId="9" fontId="3" fillId="2" borderId="10" xfId="0" applyNumberFormat="1" applyFont="1" applyFill="1" applyBorder="1" applyAlignment="1">
      <alignment horizontal="center"/>
    </xf>
    <xf numFmtId="0" fontId="1" fillId="2" borderId="2" xfId="0" applyFont="1" applyFill="1" applyBorder="1"/>
    <xf numFmtId="3" fontId="1" fillId="2" borderId="2" xfId="0" applyNumberFormat="1" applyFont="1" applyFill="1" applyBorder="1"/>
    <xf numFmtId="0" fontId="3" fillId="2" borderId="0" xfId="0" applyFont="1" applyFill="1" applyBorder="1"/>
    <xf numFmtId="0" fontId="3" fillId="2" borderId="1" xfId="0" applyFont="1" applyFill="1" applyBorder="1"/>
    <xf numFmtId="0" fontId="3" fillId="2" borderId="2" xfId="0" applyFont="1" applyFill="1" applyBorder="1"/>
    <xf numFmtId="0" fontId="6" fillId="2" borderId="0" xfId="0" applyFont="1" applyFill="1"/>
    <xf numFmtId="0" fontId="0" fillId="2" borderId="0" xfId="0" applyFill="1"/>
    <xf numFmtId="0" fontId="6" fillId="2" borderId="1" xfId="0" applyFont="1" applyFill="1" applyBorder="1"/>
    <xf numFmtId="3" fontId="6" fillId="2" borderId="1" xfId="0" applyNumberFormat="1" applyFont="1" applyFill="1" applyBorder="1"/>
    <xf numFmtId="3" fontId="6" fillId="2" borderId="0" xfId="0" applyNumberFormat="1" applyFont="1" applyFill="1"/>
    <xf numFmtId="0" fontId="6" fillId="2" borderId="0" xfId="0" applyFont="1" applyFill="1" applyBorder="1"/>
    <xf numFmtId="14" fontId="1" fillId="2" borderId="0" xfId="0" applyNumberFormat="1" applyFont="1" applyFill="1" applyBorder="1" applyAlignment="1">
      <alignment horizontal="right"/>
    </xf>
    <xf numFmtId="14" fontId="6" fillId="2" borderId="0" xfId="0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>
      <alignment horizontal="right"/>
    </xf>
    <xf numFmtId="3" fontId="6" fillId="2" borderId="0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0" fillId="2" borderId="1" xfId="0" applyFill="1" applyBorder="1"/>
    <xf numFmtId="2" fontId="6" fillId="2" borderId="0" xfId="0" applyNumberFormat="1" applyFont="1" applyFill="1"/>
    <xf numFmtId="1" fontId="6" fillId="2" borderId="0" xfId="0" applyNumberFormat="1" applyFont="1" applyFill="1"/>
    <xf numFmtId="3" fontId="6" fillId="2" borderId="0" xfId="0" applyNumberFormat="1" applyFont="1" applyFill="1" applyBorder="1"/>
    <xf numFmtId="0" fontId="3" fillId="3" borderId="1" xfId="0" applyFont="1" applyFill="1" applyBorder="1" applyAlignment="1">
      <alignment horizontal="right"/>
    </xf>
    <xf numFmtId="14" fontId="3" fillId="3" borderId="1" xfId="0" applyNumberFormat="1" applyFont="1" applyFill="1" applyBorder="1" applyAlignment="1">
      <alignment horizontal="right"/>
    </xf>
    <xf numFmtId="166" fontId="6" fillId="2" borderId="0" xfId="0" applyNumberFormat="1" applyFont="1" applyFill="1"/>
    <xf numFmtId="0" fontId="11" fillId="2" borderId="0" xfId="0" applyFont="1" applyFill="1" applyAlignment="1">
      <alignment horizontal="left" indent="1"/>
    </xf>
    <xf numFmtId="0" fontId="11" fillId="2" borderId="0" xfId="0" applyFont="1" applyFill="1" applyAlignment="1">
      <alignment horizontal="left" indent="2"/>
    </xf>
    <xf numFmtId="0" fontId="6" fillId="2" borderId="0" xfId="0" applyFont="1" applyFill="1" applyAlignment="1">
      <alignment horizontal="left" indent="1"/>
    </xf>
    <xf numFmtId="0" fontId="1" fillId="2" borderId="0" xfId="0" applyFont="1" applyFill="1" applyAlignment="1">
      <alignment horizontal="left" indent="1"/>
    </xf>
    <xf numFmtId="3" fontId="0" fillId="2" borderId="0" xfId="0" applyNumberFormat="1" applyFill="1"/>
    <xf numFmtId="0" fontId="20" fillId="2" borderId="0" xfId="0" applyFont="1" applyFill="1"/>
    <xf numFmtId="0" fontId="8" fillId="2" borderId="0" xfId="1" applyFont="1" applyFill="1" applyAlignment="1">
      <alignment horizontal="center"/>
    </xf>
    <xf numFmtId="3" fontId="8" fillId="2" borderId="0" xfId="1" applyNumberFormat="1" applyFont="1" applyFill="1" applyAlignment="1">
      <alignment horizontal="center"/>
    </xf>
    <xf numFmtId="3" fontId="8" fillId="2" borderId="1" xfId="1" applyNumberFormat="1" applyFont="1" applyFill="1" applyBorder="1" applyAlignment="1">
      <alignment horizontal="center"/>
    </xf>
    <xf numFmtId="165" fontId="8" fillId="2" borderId="1" xfId="1" applyNumberFormat="1" applyFont="1" applyFill="1" applyBorder="1" applyAlignment="1">
      <alignment horizontal="center"/>
    </xf>
    <xf numFmtId="0" fontId="8" fillId="2" borderId="0" xfId="1" applyFont="1" applyFill="1"/>
    <xf numFmtId="2" fontId="1" fillId="2" borderId="0" xfId="0" applyNumberFormat="1" applyFont="1" applyFill="1"/>
    <xf numFmtId="0" fontId="1" fillId="2" borderId="0" xfId="0" applyFont="1" applyFill="1" applyAlignment="1">
      <alignment horizontal="center" vertical="center"/>
    </xf>
    <xf numFmtId="3" fontId="1" fillId="3" borderId="0" xfId="0" applyNumberFormat="1" applyFont="1" applyFill="1" applyAlignment="1">
      <alignment horizontal="center" vertical="center"/>
    </xf>
    <xf numFmtId="1" fontId="1" fillId="2" borderId="0" xfId="0" applyNumberFormat="1" applyFont="1" applyFill="1"/>
    <xf numFmtId="3" fontId="1" fillId="2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/>
    <xf numFmtId="3" fontId="1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/>
    <xf numFmtId="1" fontId="1" fillId="3" borderId="0" xfId="0" applyNumberFormat="1" applyFont="1" applyFill="1" applyAlignment="1">
      <alignment horizontal="center"/>
    </xf>
    <xf numFmtId="1" fontId="1" fillId="2" borderId="0" xfId="0" applyNumberFormat="1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9" fillId="2" borderId="0" xfId="0" applyFont="1" applyFill="1" applyBorder="1" applyAlignment="1">
      <alignment horizontal="left"/>
    </xf>
    <xf numFmtId="0" fontId="19" fillId="2" borderId="0" xfId="0" applyFont="1" applyFill="1" applyAlignment="1">
      <alignment horizontal="left"/>
    </xf>
    <xf numFmtId="0" fontId="19" fillId="2" borderId="1" xfId="0" applyFont="1" applyFill="1" applyBorder="1" applyAlignment="1">
      <alignment horizontal="left"/>
    </xf>
    <xf numFmtId="0" fontId="22" fillId="2" borderId="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0" xfId="0" applyFont="1" applyFill="1"/>
    <xf numFmtId="1" fontId="10" fillId="2" borderId="0" xfId="0" applyNumberFormat="1" applyFont="1" applyFill="1" applyAlignment="1">
      <alignment horizontal="center"/>
    </xf>
    <xf numFmtId="3" fontId="10" fillId="2" borderId="0" xfId="0" applyNumberFormat="1" applyFont="1" applyFill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1" fontId="10" fillId="2" borderId="1" xfId="0" applyNumberFormat="1" applyFont="1" applyFill="1" applyBorder="1" applyAlignment="1">
      <alignment horizontal="center"/>
    </xf>
    <xf numFmtId="3" fontId="10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4" fontId="1" fillId="2" borderId="8" xfId="0" applyNumberFormat="1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3" fontId="1" fillId="2" borderId="0" xfId="0" applyNumberFormat="1" applyFont="1" applyFill="1" applyBorder="1" applyAlignment="1">
      <alignment horizontal="center" vertical="center"/>
    </xf>
    <xf numFmtId="164" fontId="19" fillId="2" borderId="0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67" fontId="1" fillId="2" borderId="7" xfId="2" applyNumberFormat="1" applyFont="1" applyFill="1" applyBorder="1" applyAlignment="1">
      <alignment horizontal="center" vertical="center"/>
    </xf>
    <xf numFmtId="164" fontId="19" fillId="2" borderId="1" xfId="0" applyNumberFormat="1" applyFont="1" applyFill="1" applyBorder="1" applyAlignment="1">
      <alignment horizontal="right" vertical="center"/>
    </xf>
    <xf numFmtId="167" fontId="1" fillId="2" borderId="0" xfId="2" applyNumberFormat="1" applyFont="1" applyFill="1" applyBorder="1" applyAlignment="1">
      <alignment horizontal="center" vertical="center"/>
    </xf>
    <xf numFmtId="1" fontId="1" fillId="2" borderId="0" xfId="0" applyNumberFormat="1" applyFont="1" applyFill="1" applyBorder="1"/>
    <xf numFmtId="0" fontId="1" fillId="2" borderId="0" xfId="0" applyNumberFormat="1" applyFont="1" applyFill="1" applyBorder="1"/>
    <xf numFmtId="0" fontId="1" fillId="2" borderId="3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left"/>
    </xf>
    <xf numFmtId="4" fontId="1" fillId="2" borderId="0" xfId="0" applyNumberFormat="1" applyFont="1" applyFill="1"/>
    <xf numFmtId="2" fontId="1" fillId="2" borderId="0" xfId="0" applyNumberFormat="1" applyFont="1" applyFill="1" applyAlignment="1">
      <alignment horizontal="left" indent="3"/>
    </xf>
    <xf numFmtId="0" fontId="3" fillId="2" borderId="0" xfId="0" applyNumberFormat="1" applyFont="1" applyFill="1" applyAlignment="1">
      <alignment horizontal="right"/>
    </xf>
    <xf numFmtId="0" fontId="3" fillId="2" borderId="0" xfId="0" applyNumberFormat="1" applyFont="1" applyFill="1" applyAlignment="1">
      <alignment horizontal="right" vertical="center"/>
    </xf>
    <xf numFmtId="0" fontId="3" fillId="2" borderId="0" xfId="0" applyNumberFormat="1" applyFont="1" applyFill="1" applyAlignment="1">
      <alignment horizontal="left"/>
    </xf>
    <xf numFmtId="0" fontId="3" fillId="2" borderId="0" xfId="0" applyNumberFormat="1" applyFont="1" applyFill="1"/>
    <xf numFmtId="10" fontId="19" fillId="2" borderId="0" xfId="0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left"/>
    </xf>
    <xf numFmtId="0" fontId="1" fillId="2" borderId="3" xfId="0" applyFont="1" applyFill="1" applyBorder="1"/>
    <xf numFmtId="167" fontId="1" fillId="2" borderId="0" xfId="2" applyNumberFormat="1" applyFont="1" applyFill="1"/>
    <xf numFmtId="0" fontId="1" fillId="2" borderId="1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1" fontId="3" fillId="2" borderId="0" xfId="0" applyNumberFormat="1" applyFont="1" applyFill="1" applyAlignment="1">
      <alignment horizontal="left" indent="3"/>
    </xf>
    <xf numFmtId="0" fontId="1" fillId="2" borderId="0" xfId="0" applyFont="1" applyFill="1" applyBorder="1" applyAlignment="1"/>
    <xf numFmtId="1" fontId="3" fillId="2" borderId="0" xfId="0" applyNumberFormat="1" applyFont="1" applyFill="1"/>
    <xf numFmtId="0" fontId="3" fillId="0" borderId="10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3" fillId="0" borderId="10" xfId="0" applyFont="1" applyBorder="1"/>
    <xf numFmtId="0" fontId="1" fillId="2" borderId="0" xfId="0" applyFont="1" applyFill="1" applyAlignment="1">
      <alignment vertical="center" wrapText="1"/>
    </xf>
    <xf numFmtId="2" fontId="1" fillId="2" borderId="1" xfId="0" applyNumberFormat="1" applyFont="1" applyFill="1" applyBorder="1"/>
    <xf numFmtId="0" fontId="3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169" fontId="1" fillId="2" borderId="0" xfId="0" applyNumberFormat="1" applyFont="1" applyFill="1"/>
    <xf numFmtId="169" fontId="1" fillId="4" borderId="0" xfId="0" applyNumberFormat="1" applyFont="1" applyFill="1"/>
    <xf numFmtId="169" fontId="1" fillId="5" borderId="0" xfId="0" applyNumberFormat="1" applyFont="1" applyFill="1"/>
    <xf numFmtId="3" fontId="6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/>
    </xf>
    <xf numFmtId="9" fontId="3" fillId="2" borderId="11" xfId="0" applyNumberFormat="1" applyFont="1" applyFill="1" applyBorder="1" applyAlignment="1">
      <alignment horizontal="center" vertical="center"/>
    </xf>
    <xf numFmtId="9" fontId="3" fillId="2" borderId="12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/>
    </xf>
    <xf numFmtId="0" fontId="1" fillId="2" borderId="2" xfId="0" applyFont="1" applyFill="1" applyBorder="1" applyAlignment="1">
      <alignment horizontal="left" vertical="center"/>
    </xf>
    <xf numFmtId="0" fontId="19" fillId="6" borderId="0" xfId="0" applyFont="1" applyFill="1" applyBorder="1" applyAlignment="1">
      <alignment vertical="center"/>
    </xf>
    <xf numFmtId="0" fontId="23" fillId="3" borderId="0" xfId="0" applyFont="1" applyFill="1" applyBorder="1" applyAlignment="1">
      <alignment vertical="center" wrapText="1"/>
    </xf>
    <xf numFmtId="0" fontId="23" fillId="6" borderId="8" xfId="0" applyFont="1" applyFill="1" applyBorder="1" applyAlignment="1">
      <alignment vertical="top" wrapText="1"/>
    </xf>
    <xf numFmtId="0" fontId="23" fillId="6" borderId="3" xfId="0" applyFont="1" applyFill="1" applyBorder="1" applyAlignment="1">
      <alignment vertical="top" wrapText="1"/>
    </xf>
    <xf numFmtId="0" fontId="23" fillId="6" borderId="4" xfId="0" applyFont="1" applyFill="1" applyBorder="1" applyAlignment="1">
      <alignment vertical="top" wrapText="1"/>
    </xf>
    <xf numFmtId="0" fontId="23" fillId="6" borderId="13" xfId="0" applyFont="1" applyFill="1" applyBorder="1" applyAlignment="1">
      <alignment vertical="center" wrapText="1"/>
    </xf>
    <xf numFmtId="0" fontId="23" fillId="6" borderId="2" xfId="0" applyFont="1" applyFill="1" applyBorder="1" applyAlignment="1">
      <alignment vertical="center" wrapText="1"/>
    </xf>
    <xf numFmtId="0" fontId="23" fillId="6" borderId="14" xfId="0" applyFont="1" applyFill="1" applyBorder="1" applyAlignment="1">
      <alignment vertical="center" wrapText="1"/>
    </xf>
    <xf numFmtId="0" fontId="19" fillId="6" borderId="9" xfId="0" applyFont="1" applyFill="1" applyBorder="1" applyAlignment="1">
      <alignment vertical="center"/>
    </xf>
    <xf numFmtId="0" fontId="19" fillId="6" borderId="6" xfId="0" applyFont="1" applyFill="1" applyBorder="1" applyAlignment="1">
      <alignment vertical="center"/>
    </xf>
    <xf numFmtId="0" fontId="19" fillId="6" borderId="7" xfId="0" applyFont="1" applyFill="1" applyBorder="1" applyAlignment="1">
      <alignment vertical="center"/>
    </xf>
    <xf numFmtId="0" fontId="19" fillId="6" borderId="1" xfId="0" applyFont="1" applyFill="1" applyBorder="1" applyAlignment="1">
      <alignment vertical="center"/>
    </xf>
    <xf numFmtId="0" fontId="19" fillId="6" borderId="5" xfId="0" applyFont="1" applyFill="1" applyBorder="1" applyAlignment="1">
      <alignment vertical="center"/>
    </xf>
    <xf numFmtId="0" fontId="23" fillId="6" borderId="8" xfId="0" applyFont="1" applyFill="1" applyBorder="1" applyAlignment="1">
      <alignment horizontal="justify" vertical="center" wrapText="1"/>
    </xf>
    <xf numFmtId="0" fontId="23" fillId="6" borderId="3" xfId="0" applyFont="1" applyFill="1" applyBorder="1" applyAlignment="1">
      <alignment horizontal="justify" vertical="center" wrapText="1"/>
    </xf>
    <xf numFmtId="0" fontId="23" fillId="6" borderId="4" xfId="0" applyFont="1" applyFill="1" applyBorder="1" applyAlignment="1">
      <alignment horizontal="justify" vertical="center" wrapText="1"/>
    </xf>
    <xf numFmtId="0" fontId="23" fillId="3" borderId="13" xfId="0" applyFont="1" applyFill="1" applyBorder="1" applyAlignment="1">
      <alignment vertical="center" wrapText="1"/>
    </xf>
    <xf numFmtId="0" fontId="23" fillId="3" borderId="2" xfId="0" applyFont="1" applyFill="1" applyBorder="1" applyAlignment="1">
      <alignment vertical="center" wrapText="1"/>
    </xf>
    <xf numFmtId="0" fontId="23" fillId="3" borderId="14" xfId="0" applyFont="1" applyFill="1" applyBorder="1" applyAlignment="1">
      <alignment vertical="center" wrapText="1"/>
    </xf>
    <xf numFmtId="0" fontId="23" fillId="3" borderId="9" xfId="0" applyFont="1" applyFill="1" applyBorder="1" applyAlignment="1">
      <alignment vertical="center" wrapText="1"/>
    </xf>
    <xf numFmtId="0" fontId="23" fillId="3" borderId="6" xfId="0" applyFont="1" applyFill="1" applyBorder="1" applyAlignment="1">
      <alignment vertical="center" wrapText="1"/>
    </xf>
    <xf numFmtId="0" fontId="23" fillId="3" borderId="7" xfId="0" applyFont="1" applyFill="1" applyBorder="1" applyAlignment="1">
      <alignment vertical="center" wrapText="1"/>
    </xf>
    <xf numFmtId="0" fontId="23" fillId="3" borderId="1" xfId="0" applyFont="1" applyFill="1" applyBorder="1" applyAlignment="1">
      <alignment vertical="center" wrapText="1"/>
    </xf>
    <xf numFmtId="0" fontId="23" fillId="3" borderId="5" xfId="0" applyFont="1" applyFill="1" applyBorder="1" applyAlignment="1">
      <alignment vertical="center" wrapText="1"/>
    </xf>
  </cellXfs>
  <cellStyles count="3">
    <cellStyle name="Čiarka" xfId="2" builtinId="3"/>
    <cellStyle name="Hypertextové prepojenie" xfId="1" builtinId="8"/>
    <cellStyle name="Normálna" xfId="0" builtinId="0"/>
  </cellStyles>
  <dxfs count="0"/>
  <tableStyles count="0" defaultTableStyle="TableStyleMedium2" defaultPivotStyle="PivotStyleLight16"/>
  <colors>
    <mruColors>
      <color rgb="FFAAD3F2"/>
      <color rgb="FF2C9A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9623187072714323E-2"/>
          <c:y val="3.8053368924482987E-2"/>
          <c:w val="0.95752532454308803"/>
          <c:h val="0.7494644351657523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Analýza_citlivosti!$A$5</c:f>
              <c:strCache>
                <c:ptCount val="1"/>
                <c:pt idx="0">
                  <c:v>Preplácané lístky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Analýza_citlivosti!$C$2:$P$3</c:f>
              <c:multiLvlStrCache>
                <c:ptCount val="12"/>
                <c:lvl>
                  <c:pt idx="0">
                    <c:v>3,3%</c:v>
                  </c:pt>
                  <c:pt idx="1">
                    <c:v>5,0%</c:v>
                  </c:pt>
                  <c:pt idx="2">
                    <c:v>0,0%</c:v>
                  </c:pt>
                  <c:pt idx="3">
                    <c:v>5,0%</c:v>
                  </c:pt>
                  <c:pt idx="4">
                    <c:v>1</c:v>
                  </c:pt>
                  <c:pt idx="5">
                    <c:v>2</c:v>
                  </c:pt>
                  <c:pt idx="6">
                    <c:v>5%</c:v>
                  </c:pt>
                  <c:pt idx="7">
                    <c:v>25%</c:v>
                  </c:pt>
                  <c:pt idx="8">
                    <c:v>1,1</c:v>
                  </c:pt>
                  <c:pt idx="9">
                    <c:v>0,9</c:v>
                  </c:pt>
                  <c:pt idx="10">
                    <c:v>1,1</c:v>
                  </c:pt>
                  <c:pt idx="11">
                    <c:v>0,6</c:v>
                  </c:pt>
                </c:lvl>
                <c:lvl>
                  <c:pt idx="0">
                    <c:v>Diskont</c:v>
                  </c:pt>
                  <c:pt idx="2">
                    <c:v>Inflácia</c:v>
                  </c:pt>
                  <c:pt idx="4">
                    <c:v>Cena za km (prenájom)</c:v>
                  </c:pt>
                  <c:pt idx="6">
                    <c:v>Zachádzky (prenájom a vlastné autobusy)</c:v>
                  </c:pt>
                  <c:pt idx="8">
                    <c:v>CAPEX (vlastné autobusy)</c:v>
                  </c:pt>
                  <c:pt idx="10">
                    <c:v>OPEX (vlastné autobusy)</c:v>
                  </c:pt>
                </c:lvl>
              </c:multiLvlStrCache>
            </c:multiLvlStrRef>
          </c:cat>
          <c:val>
            <c:numRef>
              <c:f>Analýza_citlivosti!$C$16:$N$16</c:f>
              <c:numCache>
                <c:formatCode>#,##0</c:formatCode>
                <c:ptCount val="12"/>
                <c:pt idx="0">
                  <c:v>2494701.363865152</c:v>
                </c:pt>
                <c:pt idx="1">
                  <c:v>2158493.8848200366</c:v>
                </c:pt>
                <c:pt idx="2">
                  <c:v>2339397.9632351846</c:v>
                </c:pt>
                <c:pt idx="3">
                  <c:v>3755019.5217860043</c:v>
                </c:pt>
                <c:pt idx="4">
                  <c:v>2808117.8552543074</c:v>
                </c:pt>
                <c:pt idx="5">
                  <c:v>2808117.8552543074</c:v>
                </c:pt>
                <c:pt idx="6">
                  <c:v>2808117.8552543074</c:v>
                </c:pt>
                <c:pt idx="7">
                  <c:v>2808117.8552543074</c:v>
                </c:pt>
                <c:pt idx="8">
                  <c:v>2808117.8552543074</c:v>
                </c:pt>
                <c:pt idx="9">
                  <c:v>2808117.8552543074</c:v>
                </c:pt>
                <c:pt idx="10">
                  <c:v>2808117.8552543074</c:v>
                </c:pt>
                <c:pt idx="11">
                  <c:v>2808117.8552543074</c:v>
                </c:pt>
              </c:numCache>
            </c:numRef>
          </c:val>
        </c:ser>
        <c:ser>
          <c:idx val="2"/>
          <c:order val="1"/>
          <c:tx>
            <c:strRef>
              <c:f>Analýza_citlivosti!$A$6</c:f>
              <c:strCache>
                <c:ptCount val="1"/>
                <c:pt idx="0">
                  <c:v>Prenájom</c:v>
                </c:pt>
              </c:strCache>
            </c:strRef>
          </c:tx>
          <c:spPr>
            <a:solidFill>
              <a:srgbClr val="2C9ADC"/>
            </a:solidFill>
            <a:ln>
              <a:noFill/>
            </a:ln>
            <a:effectLst/>
          </c:spPr>
          <c:invertIfNegative val="0"/>
          <c:cat>
            <c:multiLvlStrRef>
              <c:f>Analýza_citlivosti!$C$2:$P$3</c:f>
              <c:multiLvlStrCache>
                <c:ptCount val="12"/>
                <c:lvl>
                  <c:pt idx="0">
                    <c:v>3,3%</c:v>
                  </c:pt>
                  <c:pt idx="1">
                    <c:v>5,0%</c:v>
                  </c:pt>
                  <c:pt idx="2">
                    <c:v>0,0%</c:v>
                  </c:pt>
                  <c:pt idx="3">
                    <c:v>5,0%</c:v>
                  </c:pt>
                  <c:pt idx="4">
                    <c:v>1</c:v>
                  </c:pt>
                  <c:pt idx="5">
                    <c:v>2</c:v>
                  </c:pt>
                  <c:pt idx="6">
                    <c:v>5%</c:v>
                  </c:pt>
                  <c:pt idx="7">
                    <c:v>25%</c:v>
                  </c:pt>
                  <c:pt idx="8">
                    <c:v>1,1</c:v>
                  </c:pt>
                  <c:pt idx="9">
                    <c:v>0,9</c:v>
                  </c:pt>
                  <c:pt idx="10">
                    <c:v>1,1</c:v>
                  </c:pt>
                  <c:pt idx="11">
                    <c:v>0,6</c:v>
                  </c:pt>
                </c:lvl>
                <c:lvl>
                  <c:pt idx="0">
                    <c:v>Diskont</c:v>
                  </c:pt>
                  <c:pt idx="2">
                    <c:v>Inflácia</c:v>
                  </c:pt>
                  <c:pt idx="4">
                    <c:v>Cena za km (prenájom)</c:v>
                  </c:pt>
                  <c:pt idx="6">
                    <c:v>Zachádzky (prenájom a vlastné autobusy)</c:v>
                  </c:pt>
                  <c:pt idx="8">
                    <c:v>CAPEX (vlastné autobusy)</c:v>
                  </c:pt>
                  <c:pt idx="10">
                    <c:v>OPEX (vlastné autobusy)</c:v>
                  </c:pt>
                </c:lvl>
              </c:multiLvlStrCache>
            </c:multiLvlStrRef>
          </c:cat>
          <c:val>
            <c:numRef>
              <c:f>Analýza_citlivosti!$C$17:$N$17</c:f>
              <c:numCache>
                <c:formatCode>#,##0</c:formatCode>
                <c:ptCount val="12"/>
                <c:pt idx="0">
                  <c:v>2460017.9172808528</c:v>
                </c:pt>
                <c:pt idx="1">
                  <c:v>2128458.0194737688</c:v>
                </c:pt>
                <c:pt idx="2">
                  <c:v>2317883.5144688785</c:v>
                </c:pt>
                <c:pt idx="3">
                  <c:v>3676436.9747229367</c:v>
                </c:pt>
                <c:pt idx="4">
                  <c:v>2924657.1752311587</c:v>
                </c:pt>
                <c:pt idx="5">
                  <c:v>2406139.5238356888</c:v>
                </c:pt>
                <c:pt idx="6">
                  <c:v>2827716.9186659157</c:v>
                </c:pt>
                <c:pt idx="7">
                  <c:v>2710486.8409591317</c:v>
                </c:pt>
                <c:pt idx="8">
                  <c:v>2769101.8798125088</c:v>
                </c:pt>
                <c:pt idx="9">
                  <c:v>2769101.8798125088</c:v>
                </c:pt>
                <c:pt idx="10">
                  <c:v>2769101.8798125088</c:v>
                </c:pt>
                <c:pt idx="11">
                  <c:v>2769101.8798125088</c:v>
                </c:pt>
              </c:numCache>
            </c:numRef>
          </c:val>
        </c:ser>
        <c:ser>
          <c:idx val="3"/>
          <c:order val="2"/>
          <c:tx>
            <c:strRef>
              <c:f>Analýza_citlivosti!$A$7</c:f>
              <c:strCache>
                <c:ptCount val="1"/>
                <c:pt idx="0">
                  <c:v>Vlastné busy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Analýza_citlivosti!$C$2:$P$3</c:f>
              <c:multiLvlStrCache>
                <c:ptCount val="12"/>
                <c:lvl>
                  <c:pt idx="0">
                    <c:v>3,3%</c:v>
                  </c:pt>
                  <c:pt idx="1">
                    <c:v>5,0%</c:v>
                  </c:pt>
                  <c:pt idx="2">
                    <c:v>0,0%</c:v>
                  </c:pt>
                  <c:pt idx="3">
                    <c:v>5,0%</c:v>
                  </c:pt>
                  <c:pt idx="4">
                    <c:v>1</c:v>
                  </c:pt>
                  <c:pt idx="5">
                    <c:v>2</c:v>
                  </c:pt>
                  <c:pt idx="6">
                    <c:v>5%</c:v>
                  </c:pt>
                  <c:pt idx="7">
                    <c:v>25%</c:v>
                  </c:pt>
                  <c:pt idx="8">
                    <c:v>1,1</c:v>
                  </c:pt>
                  <c:pt idx="9">
                    <c:v>0,9</c:v>
                  </c:pt>
                  <c:pt idx="10">
                    <c:v>1,1</c:v>
                  </c:pt>
                  <c:pt idx="11">
                    <c:v>0,6</c:v>
                  </c:pt>
                </c:lvl>
                <c:lvl>
                  <c:pt idx="0">
                    <c:v>Diskont</c:v>
                  </c:pt>
                  <c:pt idx="2">
                    <c:v>Inflácia</c:v>
                  </c:pt>
                  <c:pt idx="4">
                    <c:v>Cena za km (prenájom)</c:v>
                  </c:pt>
                  <c:pt idx="6">
                    <c:v>Zachádzky (prenájom a vlastné autobusy)</c:v>
                  </c:pt>
                  <c:pt idx="8">
                    <c:v>CAPEX (vlastné autobusy)</c:v>
                  </c:pt>
                  <c:pt idx="10">
                    <c:v>OPEX (vlastné autobusy)</c:v>
                  </c:pt>
                </c:lvl>
              </c:multiLvlStrCache>
            </c:multiLvlStrRef>
          </c:cat>
          <c:val>
            <c:numRef>
              <c:f>Analýza_citlivosti!$C$18:$N$18</c:f>
              <c:numCache>
                <c:formatCode>#,##0</c:formatCode>
                <c:ptCount val="12"/>
                <c:pt idx="0">
                  <c:v>618811.67366613448</c:v>
                </c:pt>
                <c:pt idx="1">
                  <c:v>513025.24634069204</c:v>
                </c:pt>
                <c:pt idx="2">
                  <c:v>156320.53781726956</c:v>
                </c:pt>
                <c:pt idx="3">
                  <c:v>1847975.4618221968</c:v>
                </c:pt>
                <c:pt idx="4">
                  <c:v>715572.37512916327</c:v>
                </c:pt>
                <c:pt idx="5">
                  <c:v>715572.37512916327</c:v>
                </c:pt>
                <c:pt idx="6">
                  <c:v>724771.01129609346</c:v>
                </c:pt>
                <c:pt idx="7">
                  <c:v>706373.73896230757</c:v>
                </c:pt>
                <c:pt idx="8">
                  <c:v>676272.37512916327</c:v>
                </c:pt>
                <c:pt idx="9">
                  <c:v>754872.37512916327</c:v>
                </c:pt>
                <c:pt idx="10">
                  <c:v>636980.083962515</c:v>
                </c:pt>
                <c:pt idx="11">
                  <c:v>1029941.5397957861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529792"/>
        <c:axId val="49473792"/>
      </c:barChart>
      <c:catAx>
        <c:axId val="4252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49473792"/>
        <c:crosses val="autoZero"/>
        <c:auto val="1"/>
        <c:lblAlgn val="ctr"/>
        <c:lblOffset val="100"/>
        <c:noMultiLvlLbl val="0"/>
      </c:catAx>
      <c:valAx>
        <c:axId val="4947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42529792"/>
        <c:crosses val="autoZero"/>
        <c:crossBetween val="between"/>
        <c:dispUnits>
          <c:builtInUnit val="million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5680261903082509"/>
          <c:y val="3.5747545601248494E-2"/>
          <c:w val="0.45770269930316226"/>
          <c:h val="0.102360526064295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rot="0" vert="horz"/>
    <a:lstStyle/>
    <a:p>
      <a:pPr>
        <a:defRPr sz="700"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 fmlaLink="$B$26" lockText="1" noThreeD="1"/>
</file>

<file path=xl/ctrlProps/ctrlProp2.xml><?xml version="1.0" encoding="utf-8"?>
<formControlPr xmlns="http://schemas.microsoft.com/office/spreadsheetml/2009/9/main" objectType="CheckBox" checked="Checked" fmlaLink="$A$26" lockText="1" noThreeD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15</xdr:row>
          <xdr:rowOff>200025</xdr:rowOff>
        </xdr:from>
        <xdr:to>
          <xdr:col>1</xdr:col>
          <xdr:colOff>1562100</xdr:colOff>
          <xdr:row>17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k-SK" sz="1100" b="0" i="0" u="none" strike="noStrike" baseline="0">
                  <a:solidFill>
                    <a:srgbClr val="000000"/>
                  </a:solidFill>
                  <a:latin typeface="Calibri"/>
                </a:rPr>
                <a:t>plus havaríjne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</xdr:row>
          <xdr:rowOff>114300</xdr:rowOff>
        </xdr:from>
        <xdr:to>
          <xdr:col>0</xdr:col>
          <xdr:colOff>1162050</xdr:colOff>
          <xdr:row>5</xdr:row>
          <xdr:rowOff>428625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Zohľadnenie dotácie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514350</xdr:colOff>
          <xdr:row>0</xdr:row>
          <xdr:rowOff>200025</xdr:rowOff>
        </xdr:from>
        <xdr:to>
          <xdr:col>8</xdr:col>
          <xdr:colOff>57150</xdr:colOff>
          <xdr:row>0</xdr:row>
          <xdr:rowOff>485775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sk-SK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Reštart na baseline scenár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504825</xdr:colOff>
          <xdr:row>1</xdr:row>
          <xdr:rowOff>9525</xdr:rowOff>
        </xdr:from>
        <xdr:to>
          <xdr:col>8</xdr:col>
          <xdr:colOff>47625</xdr:colOff>
          <xdr:row>1</xdr:row>
          <xdr:rowOff>295275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sk-SK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Analýza citlivosti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157672</xdr:colOff>
      <xdr:row>19</xdr:row>
      <xdr:rowOff>47622</xdr:rowOff>
    </xdr:from>
    <xdr:to>
      <xdr:col>13</xdr:col>
      <xdr:colOff>52046</xdr:colOff>
      <xdr:row>33</xdr:row>
      <xdr:rowOff>16667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../Desktop/Pracovny%20priecinok/39_IFP/AppData/Local/Microsoft/Windows/Temporary%20Internet%20Files/Content.Outlook/Downloads/V%25C3%25BDro-n%25C3%25A1%20spr%25C3%25A1va.PDF" TargetMode="External"/><Relationship Id="rId3" Type="http://schemas.openxmlformats.org/officeDocument/2006/relationships/hyperlink" Target="http://comcar.co.uk/details/Mercedes-Benz/Sprinter/519%20CDI%20Bluetec%20LWB%205.0t%20HR%20Auto?clk=209" TargetMode="External"/><Relationship Id="rId7" Type="http://schemas.openxmlformats.org/officeDocument/2006/relationships/hyperlink" Target="http://eng.auto24.lv/lietoti/isuzu/novo_ultra/1557012" TargetMode="External"/><Relationship Id="rId2" Type="http://schemas.openxmlformats.org/officeDocument/2006/relationships/hyperlink" Target="http://www.osmium.cz/pdf/stk092010_27.pdf" TargetMode="External"/><Relationship Id="rId1" Type="http://schemas.openxmlformats.org/officeDocument/2006/relationships/hyperlink" Target="http://www.auto.cz/test-mercedes-benz-sprinter-316-cdi-2189" TargetMode="External"/><Relationship Id="rId6" Type="http://schemas.openxmlformats.org/officeDocument/2006/relationships/hyperlink" Target="http://autoline.info/sf/bus-coach-bus-MERCEDES-BENZ-Tourismo--12072514441630789100.html" TargetMode="External"/><Relationship Id="rId5" Type="http://schemas.openxmlformats.org/officeDocument/2006/relationships/hyperlink" Target="http://autoline-eu.sk/-/predaj/pou%C5%BEit%C3%A9/dod%C3%A1vky-osobn%C3%BD/MERCEDES-BENZ-SPRINTER-519-CDI-XXXXL--15110306260172067600" TargetMode="External"/><Relationship Id="rId4" Type="http://schemas.openxmlformats.org/officeDocument/2006/relationships/hyperlink" Target="http://www.sadtn.sk/cms_object/file/1677_vyrocna_sprava__rok_2014.pdf" TargetMode="External"/><Relationship Id="rId9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D16" sqref="D16"/>
    </sheetView>
  </sheetViews>
  <sheetFormatPr defaultRowHeight="16.5" x14ac:dyDescent="0.3"/>
  <cols>
    <col min="1" max="7" width="18.42578125" style="55" customWidth="1"/>
    <col min="8" max="16384" width="9.140625" style="55"/>
  </cols>
  <sheetData>
    <row r="1" spans="1:7" x14ac:dyDescent="0.3">
      <c r="A1" s="237" t="s">
        <v>177</v>
      </c>
      <c r="B1" s="238"/>
      <c r="C1" s="238"/>
      <c r="D1" s="238"/>
      <c r="E1" s="238"/>
      <c r="F1" s="238"/>
      <c r="G1" s="239"/>
    </row>
    <row r="2" spans="1:7" x14ac:dyDescent="0.3">
      <c r="A2" s="240" t="s">
        <v>178</v>
      </c>
      <c r="B2" s="222"/>
      <c r="C2" s="222"/>
      <c r="D2" s="222"/>
      <c r="E2" s="222"/>
      <c r="F2" s="222"/>
      <c r="G2" s="241"/>
    </row>
    <row r="3" spans="1:7" x14ac:dyDescent="0.3">
      <c r="A3" s="242" t="s">
        <v>184</v>
      </c>
      <c r="B3" s="243"/>
      <c r="C3" s="243"/>
      <c r="D3" s="243"/>
      <c r="E3" s="243"/>
      <c r="F3" s="243"/>
      <c r="G3" s="244"/>
    </row>
    <row r="4" spans="1:7" ht="37.5" customHeight="1" x14ac:dyDescent="0.3">
      <c r="A4" s="223" t="s">
        <v>185</v>
      </c>
      <c r="B4" s="224"/>
      <c r="C4" s="224"/>
      <c r="D4" s="224"/>
      <c r="E4" s="224"/>
      <c r="F4" s="224"/>
      <c r="G4" s="225"/>
    </row>
    <row r="5" spans="1:7" x14ac:dyDescent="0.3">
      <c r="A5" s="226" t="s">
        <v>179</v>
      </c>
      <c r="B5" s="227"/>
      <c r="C5" s="227"/>
      <c r="D5" s="227"/>
      <c r="E5" s="227"/>
      <c r="F5" s="227"/>
      <c r="G5" s="228"/>
    </row>
    <row r="6" spans="1:7" x14ac:dyDescent="0.3">
      <c r="A6" s="229" t="s">
        <v>180</v>
      </c>
      <c r="B6" s="221"/>
      <c r="C6" s="221"/>
      <c r="D6" s="221"/>
      <c r="E6" s="221"/>
      <c r="F6" s="221"/>
      <c r="G6" s="230"/>
    </row>
    <row r="7" spans="1:7" x14ac:dyDescent="0.3">
      <c r="A7" s="229" t="s">
        <v>186</v>
      </c>
      <c r="B7" s="221"/>
      <c r="C7" s="221"/>
      <c r="D7" s="221"/>
      <c r="E7" s="221"/>
      <c r="F7" s="221"/>
      <c r="G7" s="230"/>
    </row>
    <row r="8" spans="1:7" x14ac:dyDescent="0.3">
      <c r="A8" s="229" t="s">
        <v>181</v>
      </c>
      <c r="B8" s="221"/>
      <c r="C8" s="221"/>
      <c r="D8" s="221"/>
      <c r="E8" s="221"/>
      <c r="F8" s="221"/>
      <c r="G8" s="230"/>
    </row>
    <row r="9" spans="1:7" x14ac:dyDescent="0.3">
      <c r="A9" s="229" t="s">
        <v>182</v>
      </c>
      <c r="B9" s="221"/>
      <c r="C9" s="221"/>
      <c r="D9" s="221"/>
      <c r="E9" s="221"/>
      <c r="F9" s="221"/>
      <c r="G9" s="230"/>
    </row>
    <row r="10" spans="1:7" x14ac:dyDescent="0.3">
      <c r="A10" s="231" t="s">
        <v>183</v>
      </c>
      <c r="B10" s="232"/>
      <c r="C10" s="232"/>
      <c r="D10" s="232"/>
      <c r="E10" s="232"/>
      <c r="F10" s="232"/>
      <c r="G10" s="233"/>
    </row>
    <row r="11" spans="1:7" ht="36" customHeight="1" x14ac:dyDescent="0.3">
      <c r="A11" s="223" t="s">
        <v>187</v>
      </c>
      <c r="B11" s="224"/>
      <c r="C11" s="224"/>
      <c r="D11" s="224"/>
      <c r="E11" s="224"/>
      <c r="F11" s="224"/>
      <c r="G11" s="225"/>
    </row>
    <row r="12" spans="1:7" ht="47.25" customHeight="1" x14ac:dyDescent="0.3">
      <c r="A12" s="234" t="s">
        <v>188</v>
      </c>
      <c r="B12" s="235"/>
      <c r="C12" s="235"/>
      <c r="D12" s="235"/>
      <c r="E12" s="235"/>
      <c r="F12" s="235"/>
      <c r="G12" s="236"/>
    </row>
  </sheetData>
  <mergeCells count="12">
    <mergeCell ref="A12:G12"/>
    <mergeCell ref="A7:G7"/>
    <mergeCell ref="A8:G8"/>
    <mergeCell ref="A9:G9"/>
    <mergeCell ref="A10:G10"/>
    <mergeCell ref="A11:G11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>
    <tabColor rgb="FFFF0000"/>
  </sheetPr>
  <dimension ref="A1:J61"/>
  <sheetViews>
    <sheetView showGridLines="0" workbookViewId="0">
      <selection activeCell="B11" sqref="B11"/>
    </sheetView>
  </sheetViews>
  <sheetFormatPr defaultRowHeight="15" x14ac:dyDescent="0.25"/>
  <cols>
    <col min="1" max="1" width="19.42578125" customWidth="1"/>
    <col min="2" max="2" width="36.42578125" customWidth="1"/>
    <col min="3" max="3" width="15" customWidth="1"/>
    <col min="4" max="5" width="18.85546875" customWidth="1"/>
    <col min="7" max="7" width="14.42578125" bestFit="1" customWidth="1"/>
  </cols>
  <sheetData>
    <row r="1" spans="1:10" ht="48.75" customHeight="1" x14ac:dyDescent="0.25">
      <c r="A1" s="194" t="s">
        <v>38</v>
      </c>
      <c r="B1" s="194"/>
      <c r="C1" s="194"/>
      <c r="D1" s="194"/>
      <c r="E1" s="194"/>
    </row>
    <row r="2" spans="1:10" ht="24.75" customHeight="1" x14ac:dyDescent="0.3">
      <c r="A2" s="9"/>
      <c r="B2" s="27" t="s">
        <v>43</v>
      </c>
      <c r="C2" s="32">
        <v>0.02</v>
      </c>
      <c r="D2" s="201" t="s">
        <v>45</v>
      </c>
      <c r="E2" s="199" t="s">
        <v>150</v>
      </c>
    </row>
    <row r="3" spans="1:10" ht="24.75" customHeight="1" x14ac:dyDescent="0.25">
      <c r="A3" s="2"/>
      <c r="B3" s="28" t="s">
        <v>42</v>
      </c>
      <c r="C3" s="26">
        <v>0.02</v>
      </c>
      <c r="D3" s="202"/>
      <c r="E3" s="200"/>
      <c r="J3" s="19"/>
    </row>
    <row r="4" spans="1:10" ht="75" customHeight="1" x14ac:dyDescent="0.25">
      <c r="A4" s="14" t="s">
        <v>156</v>
      </c>
      <c r="B4" s="13" t="s">
        <v>46</v>
      </c>
      <c r="C4" s="29">
        <f>VLOOKUP(A1,Predpoklady!A1:J3,10,0)</f>
        <v>4477465</v>
      </c>
      <c r="D4" s="18">
        <f>XNPV($C$2,CMA!C4:V4,CMA!C2:V2)</f>
        <v>-89539584.015846699</v>
      </c>
      <c r="E4" s="18">
        <f>$D$4-D4</f>
        <v>0</v>
      </c>
      <c r="G4" s="44"/>
    </row>
    <row r="5" spans="1:10" ht="40.5" customHeight="1" x14ac:dyDescent="0.25">
      <c r="A5" s="195" t="s">
        <v>49</v>
      </c>
      <c r="B5" s="15" t="s">
        <v>48</v>
      </c>
      <c r="C5" s="20">
        <f>IF(A26=TRUE,VLOOKUP(A1,Predpoklady!$A$1:$I$3,4,0)*C6,VLOOKUP(A1,Predpoklady!$A$1:$I$3,5,0)*C6)</f>
        <v>31756.294085779158</v>
      </c>
      <c r="D5" s="197">
        <f>XNPV($C$2,CMA!C14:V14,CMA!C7:V7)</f>
        <v>-86731466.160592392</v>
      </c>
      <c r="E5" s="197">
        <f>D5-D4</f>
        <v>2808117.8552543074</v>
      </c>
      <c r="G5" s="45"/>
    </row>
    <row r="6" spans="1:10" ht="40.5" customHeight="1" x14ac:dyDescent="0.25">
      <c r="A6" s="196"/>
      <c r="B6" s="12" t="s">
        <v>111</v>
      </c>
      <c r="C6" s="42">
        <v>190</v>
      </c>
      <c r="D6" s="198"/>
      <c r="E6" s="198"/>
      <c r="G6" s="44"/>
    </row>
    <row r="7" spans="1:10" ht="22.5" customHeight="1" x14ac:dyDescent="0.25">
      <c r="A7" s="195" t="s">
        <v>50</v>
      </c>
      <c r="B7" s="37" t="s">
        <v>124</v>
      </c>
      <c r="C7" s="25">
        <f>1.3</f>
        <v>1.3</v>
      </c>
      <c r="D7" s="197">
        <f>XNPV($C$2,CMA!C27:V27,CMA!C7:V7)</f>
        <v>-86770482.136034191</v>
      </c>
      <c r="E7" s="197">
        <f>D7-D4</f>
        <v>2769101.8798125088</v>
      </c>
    </row>
    <row r="8" spans="1:10" ht="22.5" customHeight="1" x14ac:dyDescent="0.25">
      <c r="A8" s="195"/>
      <c r="B8" s="35" t="s">
        <v>125</v>
      </c>
      <c r="C8" s="36">
        <v>0.05</v>
      </c>
      <c r="D8" s="193"/>
      <c r="E8" s="193"/>
      <c r="G8" s="3"/>
      <c r="H8" s="52"/>
    </row>
    <row r="9" spans="1:10" ht="22.5" customHeight="1" x14ac:dyDescent="0.25">
      <c r="A9" s="195"/>
      <c r="B9" s="35" t="s">
        <v>151</v>
      </c>
      <c r="C9" s="20">
        <f>VLOOKUP(A1,Predpoklady!A1:H3,2,0)*(1+C10)*C6</f>
        <v>24209.8</v>
      </c>
      <c r="D9" s="193"/>
      <c r="E9" s="193"/>
      <c r="H9" s="48"/>
    </row>
    <row r="10" spans="1:10" ht="22.5" customHeight="1" x14ac:dyDescent="0.25">
      <c r="A10" s="196"/>
      <c r="B10" s="38" t="s">
        <v>126</v>
      </c>
      <c r="C10" s="39">
        <v>0.15</v>
      </c>
      <c r="D10" s="198"/>
      <c r="E10" s="198"/>
    </row>
    <row r="11" spans="1:10" ht="16.5" x14ac:dyDescent="0.25">
      <c r="A11" s="195" t="s">
        <v>51</v>
      </c>
      <c r="B11" s="15" t="s">
        <v>53</v>
      </c>
      <c r="C11" s="20">
        <f>VLOOKUP(A1,Predpoklady!$A$1:$I$3,6,0)*C12</f>
        <v>393000</v>
      </c>
      <c r="D11" s="193">
        <f>XNPV($C$2,CMA!C50:V50,CMA!C30:V30)</f>
        <v>-88824011.640717536</v>
      </c>
      <c r="E11" s="197">
        <f>D11-D4</f>
        <v>715572.37512916327</v>
      </c>
    </row>
    <row r="12" spans="1:10" ht="16.5" x14ac:dyDescent="0.25">
      <c r="A12" s="195"/>
      <c r="B12" s="16" t="s">
        <v>157</v>
      </c>
      <c r="C12" s="47">
        <v>1</v>
      </c>
      <c r="D12" s="193"/>
      <c r="E12" s="193"/>
    </row>
    <row r="13" spans="1:10" ht="16.5" x14ac:dyDescent="0.25">
      <c r="A13" s="195"/>
      <c r="B13" s="35" t="s">
        <v>145</v>
      </c>
      <c r="C13" s="20">
        <f>SUM(C14:C15,C17)</f>
        <v>14749.836677862399</v>
      </c>
      <c r="D13" s="193"/>
      <c r="E13" s="193"/>
    </row>
    <row r="14" spans="1:10" ht="16.5" x14ac:dyDescent="0.25">
      <c r="A14" s="195"/>
      <c r="B14" s="16" t="s">
        <v>75</v>
      </c>
      <c r="C14" s="20">
        <f>IF(A1="Senica",Diesel!G6,Diesel!G13)</f>
        <v>5905.4366778623989</v>
      </c>
      <c r="D14" s="193"/>
      <c r="E14" s="193"/>
    </row>
    <row r="15" spans="1:10" ht="16.5" x14ac:dyDescent="0.25">
      <c r="A15" s="195"/>
      <c r="B15" s="16" t="s">
        <v>149</v>
      </c>
      <c r="C15" s="21">
        <f>-CMA!C41</f>
        <v>6781.9</v>
      </c>
      <c r="D15" s="193"/>
      <c r="E15" s="193"/>
    </row>
    <row r="16" spans="1:10" ht="16.5" x14ac:dyDescent="0.25">
      <c r="A16" s="195"/>
      <c r="B16" s="46" t="s">
        <v>158</v>
      </c>
      <c r="C16" s="47">
        <v>1</v>
      </c>
      <c r="D16" s="193"/>
      <c r="E16" s="193"/>
    </row>
    <row r="17" spans="1:6" ht="16.5" x14ac:dyDescent="0.25">
      <c r="A17" s="195"/>
      <c r="B17" s="16" t="s">
        <v>74</v>
      </c>
      <c r="C17" s="21">
        <f>IF(B26=TRUE,VLOOKUP(A1,Predpoklady!$A$1:$I$3,8,0),VLOOKUP(A1,Predpoklady!$A$1:$I$3,9,0))</f>
        <v>2062.5</v>
      </c>
      <c r="D17" s="193"/>
      <c r="E17" s="193"/>
    </row>
    <row r="18" spans="1:6" ht="16.5" x14ac:dyDescent="0.25">
      <c r="A18" s="195"/>
      <c r="B18" s="16" t="s">
        <v>61</v>
      </c>
      <c r="C18" s="43">
        <v>0.96099999999999997</v>
      </c>
      <c r="D18" s="193"/>
      <c r="E18" s="193"/>
    </row>
    <row r="19" spans="1:6" ht="16.5" x14ac:dyDescent="0.25">
      <c r="A19" s="195"/>
      <c r="B19" s="15" t="s">
        <v>63</v>
      </c>
      <c r="C19" s="24">
        <v>714</v>
      </c>
      <c r="D19" s="193"/>
      <c r="E19" s="193"/>
    </row>
    <row r="20" spans="1:6" ht="16.5" x14ac:dyDescent="0.25">
      <c r="A20" s="195"/>
      <c r="B20" s="16" t="s">
        <v>118</v>
      </c>
      <c r="C20" s="51">
        <v>0.04</v>
      </c>
      <c r="D20" s="193"/>
      <c r="E20" s="193"/>
    </row>
    <row r="21" spans="1:6" ht="16.5" x14ac:dyDescent="0.25">
      <c r="A21" s="196"/>
      <c r="B21" s="17" t="s">
        <v>54</v>
      </c>
      <c r="C21" s="23">
        <f>VLOOKUP(A1,Predpoklady!A1:H3,7,0)</f>
        <v>5</v>
      </c>
      <c r="D21" s="198"/>
      <c r="E21" s="198"/>
    </row>
    <row r="22" spans="1:6" ht="15" customHeight="1" x14ac:dyDescent="0.25">
      <c r="A22" s="4"/>
      <c r="B22" s="4"/>
      <c r="C22" s="22"/>
      <c r="D22" s="10"/>
      <c r="E22" s="10"/>
    </row>
    <row r="23" spans="1:6" x14ac:dyDescent="0.25">
      <c r="A23" s="4"/>
      <c r="B23" s="4"/>
      <c r="C23" s="4"/>
      <c r="D23" s="10"/>
      <c r="E23" s="10"/>
    </row>
    <row r="24" spans="1:6" x14ac:dyDescent="0.25">
      <c r="F24" s="40"/>
    </row>
    <row r="26" spans="1:6" x14ac:dyDescent="0.25">
      <c r="A26" s="33" t="b">
        <v>1</v>
      </c>
      <c r="B26" s="33" t="b">
        <v>0</v>
      </c>
    </row>
    <row r="29" spans="1:6" x14ac:dyDescent="0.25">
      <c r="D29" s="4"/>
      <c r="E29" s="4"/>
      <c r="F29" s="4"/>
    </row>
    <row r="30" spans="1:6" x14ac:dyDescent="0.25">
      <c r="D30" s="4"/>
      <c r="E30" s="4"/>
      <c r="F30" s="4"/>
    </row>
    <row r="31" spans="1:6" x14ac:dyDescent="0.25">
      <c r="D31" s="4"/>
      <c r="E31" s="4"/>
      <c r="F31" s="4"/>
    </row>
    <row r="32" spans="1:6" x14ac:dyDescent="0.25">
      <c r="D32" s="11"/>
      <c r="E32" s="11"/>
      <c r="F32" s="4"/>
    </row>
    <row r="33" spans="3:6" x14ac:dyDescent="0.25">
      <c r="D33" s="11"/>
      <c r="E33" s="11"/>
      <c r="F33" s="4"/>
    </row>
    <row r="34" spans="3:6" x14ac:dyDescent="0.25">
      <c r="D34" s="4"/>
      <c r="E34" s="4"/>
      <c r="F34" s="4"/>
    </row>
    <row r="35" spans="3:6" x14ac:dyDescent="0.25">
      <c r="D35" s="4"/>
      <c r="E35" s="4"/>
      <c r="F35" s="4"/>
    </row>
    <row r="39" spans="3:6" x14ac:dyDescent="0.25">
      <c r="C39" s="4"/>
      <c r="D39" s="4"/>
      <c r="E39" s="4"/>
      <c r="F39" s="4"/>
    </row>
    <row r="40" spans="3:6" x14ac:dyDescent="0.25">
      <c r="C40" s="4"/>
      <c r="D40" s="4"/>
      <c r="E40" s="4"/>
      <c r="F40" s="4"/>
    </row>
    <row r="41" spans="3:6" x14ac:dyDescent="0.25">
      <c r="C41" s="4"/>
      <c r="D41" s="4"/>
      <c r="E41" s="4"/>
      <c r="F41" s="4"/>
    </row>
    <row r="42" spans="3:6" x14ac:dyDescent="0.25">
      <c r="C42" s="4"/>
      <c r="D42" s="4"/>
      <c r="E42" s="4"/>
      <c r="F42" s="4"/>
    </row>
    <row r="43" spans="3:6" ht="16.5" x14ac:dyDescent="0.25">
      <c r="C43" s="4"/>
      <c r="D43" s="41"/>
      <c r="E43" s="4"/>
      <c r="F43" s="4"/>
    </row>
    <row r="44" spans="3:6" x14ac:dyDescent="0.25">
      <c r="C44" s="4"/>
      <c r="D44" s="193"/>
      <c r="E44" s="4"/>
      <c r="F44" s="4"/>
    </row>
    <row r="45" spans="3:6" x14ac:dyDescent="0.25">
      <c r="C45" s="4"/>
      <c r="D45" s="193"/>
      <c r="E45" s="4"/>
      <c r="F45" s="4"/>
    </row>
    <row r="46" spans="3:6" x14ac:dyDescent="0.25">
      <c r="C46" s="4"/>
      <c r="D46" s="193"/>
      <c r="E46" s="4"/>
      <c r="F46" s="4"/>
    </row>
    <row r="47" spans="3:6" x14ac:dyDescent="0.25">
      <c r="C47" s="4"/>
      <c r="D47" s="193"/>
      <c r="E47" s="4"/>
      <c r="F47" s="4"/>
    </row>
    <row r="48" spans="3:6" x14ac:dyDescent="0.25">
      <c r="C48" s="4"/>
      <c r="D48" s="193"/>
      <c r="E48" s="4"/>
      <c r="F48" s="4"/>
    </row>
    <row r="49" spans="3:6" x14ac:dyDescent="0.25">
      <c r="C49" s="4"/>
      <c r="D49" s="193"/>
      <c r="E49" s="4"/>
      <c r="F49" s="4"/>
    </row>
    <row r="50" spans="3:6" x14ac:dyDescent="0.25">
      <c r="C50" s="4"/>
      <c r="D50" s="193"/>
      <c r="E50" s="4"/>
      <c r="F50" s="4"/>
    </row>
    <row r="51" spans="3:6" x14ac:dyDescent="0.25">
      <c r="C51" s="4"/>
      <c r="D51" s="193"/>
      <c r="E51" s="4"/>
      <c r="F51" s="4"/>
    </row>
    <row r="52" spans="3:6" x14ac:dyDescent="0.25">
      <c r="C52" s="4"/>
      <c r="D52" s="193"/>
      <c r="E52" s="4"/>
      <c r="F52" s="4"/>
    </row>
    <row r="53" spans="3:6" x14ac:dyDescent="0.25">
      <c r="C53" s="4"/>
      <c r="D53" s="193"/>
      <c r="E53" s="4"/>
      <c r="F53" s="4"/>
    </row>
    <row r="54" spans="3:6" x14ac:dyDescent="0.25">
      <c r="C54" s="4"/>
      <c r="D54" s="193"/>
      <c r="E54" s="4"/>
      <c r="F54" s="4"/>
    </row>
    <row r="55" spans="3:6" x14ac:dyDescent="0.25">
      <c r="C55" s="4"/>
      <c r="D55" s="193"/>
      <c r="E55" s="4"/>
      <c r="F55" s="4"/>
    </row>
    <row r="56" spans="3:6" x14ac:dyDescent="0.25">
      <c r="C56" s="4"/>
      <c r="D56" s="193"/>
      <c r="E56" s="4"/>
      <c r="F56" s="4"/>
    </row>
    <row r="57" spans="3:6" x14ac:dyDescent="0.25">
      <c r="C57" s="4"/>
      <c r="D57" s="193"/>
      <c r="E57" s="4"/>
      <c r="F57" s="4"/>
    </row>
    <row r="58" spans="3:6" x14ac:dyDescent="0.25">
      <c r="C58" s="4"/>
      <c r="D58" s="193"/>
      <c r="E58" s="4"/>
      <c r="F58" s="4"/>
    </row>
    <row r="59" spans="3:6" x14ac:dyDescent="0.25">
      <c r="C59" s="4"/>
      <c r="D59" s="4"/>
      <c r="E59" s="4"/>
      <c r="F59" s="4"/>
    </row>
    <row r="60" spans="3:6" x14ac:dyDescent="0.25">
      <c r="C60" s="4"/>
      <c r="D60" s="4"/>
      <c r="E60" s="4"/>
      <c r="F60" s="4"/>
    </row>
    <row r="61" spans="3:6" x14ac:dyDescent="0.25">
      <c r="C61" s="4"/>
      <c r="D61" s="4"/>
      <c r="E61" s="4"/>
      <c r="F61" s="4"/>
    </row>
  </sheetData>
  <dataConsolidate>
    <dataRefs count="1">
      <dataRef ref="A2:A3" sheet="Predpoklady"/>
    </dataRefs>
  </dataConsolidate>
  <mergeCells count="15">
    <mergeCell ref="D50:D58"/>
    <mergeCell ref="D44:D45"/>
    <mergeCell ref="D46:D49"/>
    <mergeCell ref="A1:E1"/>
    <mergeCell ref="A7:A10"/>
    <mergeCell ref="D7:D10"/>
    <mergeCell ref="A11:A21"/>
    <mergeCell ref="D11:D21"/>
    <mergeCell ref="E2:E3"/>
    <mergeCell ref="E5:E6"/>
    <mergeCell ref="E7:E10"/>
    <mergeCell ref="E11:E21"/>
    <mergeCell ref="D2:D3"/>
    <mergeCell ref="A5:A6"/>
    <mergeCell ref="D5:D6"/>
  </mergeCells>
  <dataValidations count="1">
    <dataValidation type="list" allowBlank="1" showInputMessage="1" showErrorMessage="1" sqref="J3 A1:E1">
      <formula1>Okres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">
                <anchor moveWithCells="1">
                  <from>
                    <xdr:col>1</xdr:col>
                    <xdr:colOff>666750</xdr:colOff>
                    <xdr:row>15</xdr:row>
                    <xdr:rowOff>200025</xdr:rowOff>
                  </from>
                  <to>
                    <xdr:col>1</xdr:col>
                    <xdr:colOff>1562100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19050</xdr:colOff>
                    <xdr:row>5</xdr:row>
                    <xdr:rowOff>114300</xdr:rowOff>
                  </from>
                  <to>
                    <xdr:col>0</xdr:col>
                    <xdr:colOff>1162050</xdr:colOff>
                    <xdr:row>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Button 5">
              <controlPr defaultSize="0" print="0" autoFill="0" autoPict="0" macro="[0]!Macro2">
                <anchor moveWithCells="1" sizeWithCells="1">
                  <from>
                    <xdr:col>5</xdr:col>
                    <xdr:colOff>514350</xdr:colOff>
                    <xdr:row>0</xdr:row>
                    <xdr:rowOff>200025</xdr:rowOff>
                  </from>
                  <to>
                    <xdr:col>8</xdr:col>
                    <xdr:colOff>57150</xdr:colOff>
                    <xdr:row>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Button 6">
              <controlPr defaultSize="0" print="0" autoFill="0" autoPict="0" macro="[0]!Analyza">
                <anchor moveWithCells="1" sizeWithCells="1">
                  <from>
                    <xdr:col>5</xdr:col>
                    <xdr:colOff>504825</xdr:colOff>
                    <xdr:row>1</xdr:row>
                    <xdr:rowOff>9525</xdr:rowOff>
                  </from>
                  <to>
                    <xdr:col>8</xdr:col>
                    <xdr:colOff>47625</xdr:colOff>
                    <xdr:row>1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219"/>
  <sheetViews>
    <sheetView zoomScaleNormal="100" workbookViewId="0">
      <selection activeCell="A16" sqref="A16:A18"/>
    </sheetView>
  </sheetViews>
  <sheetFormatPr defaultRowHeight="16.5" x14ac:dyDescent="0.3"/>
  <cols>
    <col min="1" max="1" width="16" style="34" bestFit="1" customWidth="1"/>
    <col min="2" max="14" width="12.7109375" style="34" customWidth="1"/>
    <col min="15" max="15" width="9.140625" style="55"/>
    <col min="16" max="16" width="9.140625" style="58"/>
    <col min="17" max="16384" width="9.140625" style="55"/>
  </cols>
  <sheetData>
    <row r="1" spans="1:17" x14ac:dyDescent="0.3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7" ht="33.75" customHeight="1" x14ac:dyDescent="0.3">
      <c r="A2" s="62"/>
      <c r="B2" s="205" t="s">
        <v>165</v>
      </c>
      <c r="C2" s="203" t="s">
        <v>155</v>
      </c>
      <c r="D2" s="203"/>
      <c r="E2" s="203" t="s">
        <v>166</v>
      </c>
      <c r="F2" s="203"/>
      <c r="G2" s="203" t="s">
        <v>162</v>
      </c>
      <c r="H2" s="203"/>
      <c r="I2" s="203" t="s">
        <v>163</v>
      </c>
      <c r="J2" s="203"/>
      <c r="K2" s="203" t="s">
        <v>159</v>
      </c>
      <c r="L2" s="203"/>
      <c r="M2" s="203" t="s">
        <v>160</v>
      </c>
      <c r="N2" s="203"/>
      <c r="O2" s="59"/>
      <c r="P2" s="60"/>
    </row>
    <row r="3" spans="1:17" x14ac:dyDescent="0.3">
      <c r="A3" s="63"/>
      <c r="B3" s="206"/>
      <c r="C3" s="64">
        <v>3.3000000000000002E-2</v>
      </c>
      <c r="D3" s="64">
        <v>0.05</v>
      </c>
      <c r="E3" s="64">
        <v>0</v>
      </c>
      <c r="F3" s="64">
        <v>0.05</v>
      </c>
      <c r="G3" s="65">
        <v>1</v>
      </c>
      <c r="H3" s="65">
        <v>2</v>
      </c>
      <c r="I3" s="66">
        <v>0.05</v>
      </c>
      <c r="J3" s="66">
        <v>0.25</v>
      </c>
      <c r="K3" s="67">
        <v>1.1000000000000001</v>
      </c>
      <c r="L3" s="67">
        <v>0.9</v>
      </c>
      <c r="M3" s="67">
        <v>1.1000000000000001</v>
      </c>
      <c r="N3" s="67">
        <v>0.6</v>
      </c>
    </row>
    <row r="4" spans="1:17" x14ac:dyDescent="0.3">
      <c r="A4" s="76" t="s">
        <v>156</v>
      </c>
      <c r="B4" s="53">
        <v>-89539584.015846699</v>
      </c>
      <c r="C4" s="53">
        <v>-79596661.219627261</v>
      </c>
      <c r="D4" s="53">
        <v>-68930710.002956614</v>
      </c>
      <c r="E4" s="53">
        <v>-74669767.565723717</v>
      </c>
      <c r="F4" s="53">
        <v>-119579388.63559046</v>
      </c>
      <c r="G4" s="53">
        <v>-89539584.015846699</v>
      </c>
      <c r="H4" s="53">
        <v>-89539584.015846699</v>
      </c>
      <c r="I4" s="53">
        <v>-89539584.015846699</v>
      </c>
      <c r="J4" s="53">
        <v>-89539584.015846699</v>
      </c>
      <c r="K4" s="53">
        <v>-89539584.015846699</v>
      </c>
      <c r="L4" s="53">
        <v>-89539584.015846699</v>
      </c>
      <c r="M4" s="53">
        <v>-89539584.015846699</v>
      </c>
      <c r="N4" s="53">
        <v>-89539584.015846699</v>
      </c>
      <c r="O4" s="53"/>
      <c r="P4" s="54"/>
      <c r="Q4" s="53"/>
    </row>
    <row r="5" spans="1:17" x14ac:dyDescent="0.3">
      <c r="A5" s="76" t="s">
        <v>49</v>
      </c>
      <c r="B5" s="53">
        <v>-86731466.160592392</v>
      </c>
      <c r="C5" s="53">
        <v>-77101959.855762109</v>
      </c>
      <c r="D5" s="53">
        <v>-66772216.118136577</v>
      </c>
      <c r="E5" s="53">
        <v>-72330369.602488533</v>
      </c>
      <c r="F5" s="53">
        <v>-115824369.11380446</v>
      </c>
      <c r="G5" s="53">
        <v>-86731466.160592392</v>
      </c>
      <c r="H5" s="53">
        <v>-86731466.160592392</v>
      </c>
      <c r="I5" s="53">
        <v>-86731466.160592392</v>
      </c>
      <c r="J5" s="53">
        <v>-86731466.160592392</v>
      </c>
      <c r="K5" s="53">
        <v>-86731466.160592392</v>
      </c>
      <c r="L5" s="53">
        <v>-86731466.160592392</v>
      </c>
      <c r="M5" s="53">
        <v>-86731466.160592392</v>
      </c>
      <c r="N5" s="53">
        <v>-86731466.160592392</v>
      </c>
      <c r="O5" s="53"/>
      <c r="P5" s="56"/>
      <c r="Q5" s="53"/>
    </row>
    <row r="6" spans="1:17" x14ac:dyDescent="0.3">
      <c r="A6" s="76" t="s">
        <v>50</v>
      </c>
      <c r="B6" s="53">
        <v>-86770482.136034191</v>
      </c>
      <c r="C6" s="53">
        <v>-77136643.302346408</v>
      </c>
      <c r="D6" s="53">
        <v>-66802251.983482845</v>
      </c>
      <c r="E6" s="53">
        <v>-72351884.051254839</v>
      </c>
      <c r="F6" s="53">
        <v>-115902951.66086753</v>
      </c>
      <c r="G6" s="53">
        <v>-86614926.840615541</v>
      </c>
      <c r="H6" s="53">
        <v>-87133444.492011011</v>
      </c>
      <c r="I6" s="53">
        <v>-86711867.097180784</v>
      </c>
      <c r="J6" s="53">
        <v>-86829097.174887568</v>
      </c>
      <c r="K6" s="53">
        <v>-86770482.136034191</v>
      </c>
      <c r="L6" s="53">
        <v>-86770482.136034191</v>
      </c>
      <c r="M6" s="53">
        <v>-86770482.136034191</v>
      </c>
      <c r="N6" s="53">
        <v>-86770482.136034191</v>
      </c>
      <c r="O6" s="53"/>
      <c r="P6" s="56"/>
      <c r="Q6" s="53"/>
    </row>
    <row r="7" spans="1:17" x14ac:dyDescent="0.3">
      <c r="A7" s="77" t="s">
        <v>154</v>
      </c>
      <c r="B7" s="61">
        <v>-88824011.640717536</v>
      </c>
      <c r="C7" s="61">
        <v>-78977849.545961127</v>
      </c>
      <c r="D7" s="61">
        <v>-68417684.756615922</v>
      </c>
      <c r="E7" s="61">
        <v>-74513447.027906448</v>
      </c>
      <c r="F7" s="61">
        <v>-117731413.17376827</v>
      </c>
      <c r="G7" s="61">
        <v>-88824011.640717536</v>
      </c>
      <c r="H7" s="61">
        <v>-88824011.640717536</v>
      </c>
      <c r="I7" s="61">
        <v>-88814813.004550606</v>
      </c>
      <c r="J7" s="61">
        <v>-88833210.276884392</v>
      </c>
      <c r="K7" s="61">
        <v>-88863311.640717536</v>
      </c>
      <c r="L7" s="61">
        <v>-88784711.640717536</v>
      </c>
      <c r="M7" s="61">
        <v>-88902603.931884184</v>
      </c>
      <c r="N7" s="61">
        <v>-88509642.476050913</v>
      </c>
      <c r="O7" s="53"/>
      <c r="P7" s="56"/>
      <c r="Q7" s="53"/>
    </row>
    <row r="8" spans="1:17" x14ac:dyDescent="0.3">
      <c r="A8" s="55"/>
      <c r="B8" s="69"/>
      <c r="C8" s="70"/>
      <c r="D8" s="58"/>
      <c r="E8" s="58"/>
      <c r="F8" s="58"/>
      <c r="G8" s="53"/>
      <c r="H8" s="55"/>
      <c r="I8" s="55"/>
      <c r="J8" s="55"/>
      <c r="K8" s="55"/>
      <c r="L8" s="53"/>
      <c r="M8" s="55"/>
      <c r="N8" s="55"/>
      <c r="O8" s="53"/>
      <c r="P8" s="56"/>
      <c r="Q8" s="53"/>
    </row>
    <row r="9" spans="1:17" x14ac:dyDescent="0.3">
      <c r="A9" s="62"/>
      <c r="B9" s="207"/>
      <c r="C9" s="204" t="s">
        <v>155</v>
      </c>
      <c r="D9" s="204"/>
      <c r="E9" s="204" t="s">
        <v>166</v>
      </c>
      <c r="F9" s="204"/>
      <c r="G9" s="204" t="s">
        <v>37</v>
      </c>
      <c r="H9" s="204"/>
      <c r="I9" s="204" t="s">
        <v>161</v>
      </c>
      <c r="J9" s="204"/>
      <c r="K9" s="204" t="s">
        <v>159</v>
      </c>
      <c r="L9" s="204"/>
      <c r="M9" s="204" t="s">
        <v>160</v>
      </c>
      <c r="N9" s="204"/>
      <c r="O9" s="53"/>
      <c r="P9" s="56"/>
      <c r="Q9" s="53"/>
    </row>
    <row r="10" spans="1:17" x14ac:dyDescent="0.3">
      <c r="A10" s="63"/>
      <c r="B10" s="208"/>
      <c r="C10" s="71">
        <f>C3</f>
        <v>3.3000000000000002E-2</v>
      </c>
      <c r="D10" s="71">
        <f t="shared" ref="D10:N10" si="0">D3</f>
        <v>0.05</v>
      </c>
      <c r="E10" s="71">
        <f t="shared" si="0"/>
        <v>0</v>
      </c>
      <c r="F10" s="71">
        <f t="shared" si="0"/>
        <v>0.05</v>
      </c>
      <c r="G10" s="72">
        <f t="shared" si="0"/>
        <v>1</v>
      </c>
      <c r="H10" s="72">
        <f t="shared" si="0"/>
        <v>2</v>
      </c>
      <c r="I10" s="73">
        <f t="shared" si="0"/>
        <v>0.05</v>
      </c>
      <c r="J10" s="73">
        <f t="shared" si="0"/>
        <v>0.25</v>
      </c>
      <c r="K10" s="73">
        <f t="shared" si="0"/>
        <v>1.1000000000000001</v>
      </c>
      <c r="L10" s="73">
        <f t="shared" si="0"/>
        <v>0.9</v>
      </c>
      <c r="M10" s="73">
        <f t="shared" si="0"/>
        <v>1.1000000000000001</v>
      </c>
      <c r="N10" s="73">
        <f t="shared" si="0"/>
        <v>0.6</v>
      </c>
      <c r="O10" s="53"/>
      <c r="P10" s="56"/>
      <c r="Q10" s="53"/>
    </row>
    <row r="11" spans="1:17" x14ac:dyDescent="0.3">
      <c r="A11" s="76" t="s">
        <v>156</v>
      </c>
      <c r="B11" s="70">
        <f t="shared" ref="B11:D14" si="1">-($B4-B4)</f>
        <v>0</v>
      </c>
      <c r="C11" s="70">
        <f>-($B4-C4)</f>
        <v>9942922.7962194383</v>
      </c>
      <c r="D11" s="70">
        <f t="shared" si="1"/>
        <v>20608874.012890086</v>
      </c>
      <c r="E11" s="70">
        <f t="shared" ref="E11:F11" si="2">-($B4-E4)</f>
        <v>14869816.450122982</v>
      </c>
      <c r="F11" s="70">
        <f t="shared" si="2"/>
        <v>-30039804.619743764</v>
      </c>
      <c r="G11" s="70">
        <f t="shared" ref="G11:N11" si="3">-($B4-G4)</f>
        <v>0</v>
      </c>
      <c r="H11" s="70">
        <f t="shared" si="3"/>
        <v>0</v>
      </c>
      <c r="I11" s="70">
        <f t="shared" si="3"/>
        <v>0</v>
      </c>
      <c r="J11" s="70">
        <f t="shared" si="3"/>
        <v>0</v>
      </c>
      <c r="K11" s="70">
        <f t="shared" si="3"/>
        <v>0</v>
      </c>
      <c r="L11" s="70">
        <f t="shared" si="3"/>
        <v>0</v>
      </c>
      <c r="M11" s="70">
        <f t="shared" si="3"/>
        <v>0</v>
      </c>
      <c r="N11" s="70">
        <f t="shared" si="3"/>
        <v>0</v>
      </c>
      <c r="O11" s="53"/>
      <c r="P11" s="56"/>
      <c r="Q11" s="53"/>
    </row>
    <row r="12" spans="1:17" x14ac:dyDescent="0.3">
      <c r="A12" s="76" t="s">
        <v>49</v>
      </c>
      <c r="B12" s="70">
        <f t="shared" si="1"/>
        <v>0</v>
      </c>
      <c r="C12" s="70">
        <f t="shared" si="1"/>
        <v>9629506.3048302829</v>
      </c>
      <c r="D12" s="70">
        <f t="shared" si="1"/>
        <v>19959250.042455815</v>
      </c>
      <c r="E12" s="70">
        <f t="shared" ref="E12:F12" si="4">-($B5-E5)</f>
        <v>14401096.558103859</v>
      </c>
      <c r="F12" s="70">
        <f t="shared" si="4"/>
        <v>-29092902.953212067</v>
      </c>
      <c r="G12" s="70">
        <f t="shared" ref="G12:N12" si="5">-($B5-G5)</f>
        <v>0</v>
      </c>
      <c r="H12" s="70">
        <f t="shared" si="5"/>
        <v>0</v>
      </c>
      <c r="I12" s="70">
        <f t="shared" si="5"/>
        <v>0</v>
      </c>
      <c r="J12" s="70">
        <f t="shared" si="5"/>
        <v>0</v>
      </c>
      <c r="K12" s="70">
        <f t="shared" si="5"/>
        <v>0</v>
      </c>
      <c r="L12" s="70">
        <f t="shared" si="5"/>
        <v>0</v>
      </c>
      <c r="M12" s="70">
        <f t="shared" si="5"/>
        <v>0</v>
      </c>
      <c r="N12" s="70">
        <f t="shared" si="5"/>
        <v>0</v>
      </c>
      <c r="O12" s="53"/>
      <c r="P12" s="56"/>
      <c r="Q12" s="53"/>
    </row>
    <row r="13" spans="1:17" x14ac:dyDescent="0.3">
      <c r="A13" s="76" t="s">
        <v>50</v>
      </c>
      <c r="B13" s="70">
        <f t="shared" si="1"/>
        <v>0</v>
      </c>
      <c r="C13" s="70">
        <f t="shared" si="1"/>
        <v>9633838.8336877823</v>
      </c>
      <c r="D13" s="70">
        <f t="shared" si="1"/>
        <v>19968230.152551346</v>
      </c>
      <c r="E13" s="70">
        <f t="shared" ref="E13:F13" si="6">-($B6-E6)</f>
        <v>14418598.084779352</v>
      </c>
      <c r="F13" s="70">
        <f t="shared" si="6"/>
        <v>-29132469.524833336</v>
      </c>
      <c r="G13" s="70">
        <f t="shared" ref="G13:N13" si="7">-($B6-G6)</f>
        <v>155555.29541864991</v>
      </c>
      <c r="H13" s="70">
        <f t="shared" si="7"/>
        <v>-362962.35597681999</v>
      </c>
      <c r="I13" s="70">
        <f t="shared" si="7"/>
        <v>58615.038853406906</v>
      </c>
      <c r="J13" s="70">
        <f t="shared" si="7"/>
        <v>-58615.038853377104</v>
      </c>
      <c r="K13" s="70">
        <f t="shared" si="7"/>
        <v>0</v>
      </c>
      <c r="L13" s="70">
        <f t="shared" si="7"/>
        <v>0</v>
      </c>
      <c r="M13" s="70">
        <f t="shared" si="7"/>
        <v>0</v>
      </c>
      <c r="N13" s="70">
        <f t="shared" si="7"/>
        <v>0</v>
      </c>
      <c r="O13" s="53"/>
      <c r="P13" s="56"/>
      <c r="Q13" s="53"/>
    </row>
    <row r="14" spans="1:17" x14ac:dyDescent="0.3">
      <c r="A14" s="77" t="s">
        <v>154</v>
      </c>
      <c r="B14" s="61">
        <f t="shared" si="1"/>
        <v>0</v>
      </c>
      <c r="C14" s="61">
        <f t="shared" si="1"/>
        <v>9846162.0947564095</v>
      </c>
      <c r="D14" s="61">
        <f t="shared" si="1"/>
        <v>20406326.884101614</v>
      </c>
      <c r="E14" s="61">
        <f t="shared" ref="E14:F14" si="8">-($B7-E7)</f>
        <v>14310564.612811089</v>
      </c>
      <c r="F14" s="61">
        <f t="shared" si="8"/>
        <v>-28907401.533050731</v>
      </c>
      <c r="G14" s="61">
        <f t="shared" ref="G14:N14" si="9">-($B7-G7)</f>
        <v>0</v>
      </c>
      <c r="H14" s="61">
        <f t="shared" si="9"/>
        <v>0</v>
      </c>
      <c r="I14" s="61">
        <f t="shared" si="9"/>
        <v>9198.6361669301987</v>
      </c>
      <c r="J14" s="61">
        <f t="shared" si="9"/>
        <v>-9198.6361668556929</v>
      </c>
      <c r="K14" s="61">
        <f t="shared" si="9"/>
        <v>-39300</v>
      </c>
      <c r="L14" s="61">
        <f t="shared" si="9"/>
        <v>39300</v>
      </c>
      <c r="M14" s="61">
        <f t="shared" si="9"/>
        <v>-78592.291166648269</v>
      </c>
      <c r="N14" s="61">
        <f t="shared" si="9"/>
        <v>314369.16466662288</v>
      </c>
      <c r="O14" s="53"/>
      <c r="P14" s="56"/>
      <c r="Q14" s="53"/>
    </row>
    <row r="15" spans="1:17" x14ac:dyDescent="0.3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3"/>
      <c r="P15" s="56"/>
      <c r="Q15" s="53"/>
    </row>
    <row r="16" spans="1:17" x14ac:dyDescent="0.3">
      <c r="A16" s="78" t="s">
        <v>49</v>
      </c>
      <c r="B16" s="75">
        <f>B5-B$4</f>
        <v>2808117.8552543074</v>
      </c>
      <c r="C16" s="75">
        <f>C5-C$4</f>
        <v>2494701.363865152</v>
      </c>
      <c r="D16" s="75">
        <f>D5-D$4</f>
        <v>2158493.8848200366</v>
      </c>
      <c r="E16" s="75">
        <f t="shared" ref="E16:N16" si="10">E5-E$4</f>
        <v>2339397.9632351846</v>
      </c>
      <c r="F16" s="75">
        <f t="shared" si="10"/>
        <v>3755019.5217860043</v>
      </c>
      <c r="G16" s="75">
        <f t="shared" si="10"/>
        <v>2808117.8552543074</v>
      </c>
      <c r="H16" s="75">
        <f t="shared" si="10"/>
        <v>2808117.8552543074</v>
      </c>
      <c r="I16" s="75">
        <f t="shared" si="10"/>
        <v>2808117.8552543074</v>
      </c>
      <c r="J16" s="75">
        <f t="shared" si="10"/>
        <v>2808117.8552543074</v>
      </c>
      <c r="K16" s="75">
        <f t="shared" si="10"/>
        <v>2808117.8552543074</v>
      </c>
      <c r="L16" s="75">
        <f t="shared" si="10"/>
        <v>2808117.8552543074</v>
      </c>
      <c r="M16" s="75">
        <f t="shared" si="10"/>
        <v>2808117.8552543074</v>
      </c>
      <c r="N16" s="75">
        <f t="shared" si="10"/>
        <v>2808117.8552543074</v>
      </c>
      <c r="O16" s="53"/>
      <c r="P16" s="56"/>
      <c r="Q16" s="53"/>
    </row>
    <row r="17" spans="1:17" x14ac:dyDescent="0.3">
      <c r="A17" s="76" t="s">
        <v>50</v>
      </c>
      <c r="B17" s="53">
        <f t="shared" ref="B17:D17" si="11">B6-B$4</f>
        <v>2769101.8798125088</v>
      </c>
      <c r="C17" s="53">
        <f t="shared" si="11"/>
        <v>2460017.9172808528</v>
      </c>
      <c r="D17" s="53">
        <f t="shared" si="11"/>
        <v>2128458.0194737688</v>
      </c>
      <c r="E17" s="53">
        <f t="shared" ref="E17:N17" si="12">E6-E$4</f>
        <v>2317883.5144688785</v>
      </c>
      <c r="F17" s="53">
        <f t="shared" si="12"/>
        <v>3676436.9747229367</v>
      </c>
      <c r="G17" s="53">
        <f t="shared" si="12"/>
        <v>2924657.1752311587</v>
      </c>
      <c r="H17" s="53">
        <f t="shared" si="12"/>
        <v>2406139.5238356888</v>
      </c>
      <c r="I17" s="53">
        <f t="shared" si="12"/>
        <v>2827716.9186659157</v>
      </c>
      <c r="J17" s="53">
        <f t="shared" si="12"/>
        <v>2710486.8409591317</v>
      </c>
      <c r="K17" s="53">
        <f t="shared" si="12"/>
        <v>2769101.8798125088</v>
      </c>
      <c r="L17" s="53">
        <f t="shared" si="12"/>
        <v>2769101.8798125088</v>
      </c>
      <c r="M17" s="53">
        <f t="shared" si="12"/>
        <v>2769101.8798125088</v>
      </c>
      <c r="N17" s="53">
        <f t="shared" si="12"/>
        <v>2769101.8798125088</v>
      </c>
      <c r="O17" s="53"/>
      <c r="P17" s="56"/>
      <c r="Q17" s="53"/>
    </row>
    <row r="18" spans="1:17" x14ac:dyDescent="0.3">
      <c r="A18" s="77" t="s">
        <v>154</v>
      </c>
      <c r="B18" s="61">
        <f t="shared" ref="B18:D18" si="13">B7-B$4</f>
        <v>715572.37512916327</v>
      </c>
      <c r="C18" s="61">
        <f t="shared" si="13"/>
        <v>618811.67366613448</v>
      </c>
      <c r="D18" s="61">
        <f t="shared" si="13"/>
        <v>513025.24634069204</v>
      </c>
      <c r="E18" s="61">
        <f t="shared" ref="E18:N18" si="14">E7-E$4</f>
        <v>156320.53781726956</v>
      </c>
      <c r="F18" s="61">
        <f t="shared" si="14"/>
        <v>1847975.4618221968</v>
      </c>
      <c r="G18" s="61">
        <f t="shared" si="14"/>
        <v>715572.37512916327</v>
      </c>
      <c r="H18" s="61">
        <f t="shared" si="14"/>
        <v>715572.37512916327</v>
      </c>
      <c r="I18" s="61">
        <f t="shared" si="14"/>
        <v>724771.01129609346</v>
      </c>
      <c r="J18" s="61">
        <f t="shared" si="14"/>
        <v>706373.73896230757</v>
      </c>
      <c r="K18" s="61">
        <f t="shared" si="14"/>
        <v>676272.37512916327</v>
      </c>
      <c r="L18" s="61">
        <f t="shared" si="14"/>
        <v>754872.37512916327</v>
      </c>
      <c r="M18" s="61">
        <f t="shared" si="14"/>
        <v>636980.083962515</v>
      </c>
      <c r="N18" s="61">
        <f t="shared" si="14"/>
        <v>1029941.5397957861</v>
      </c>
      <c r="O18" s="53"/>
      <c r="P18" s="56"/>
      <c r="Q18" s="53"/>
    </row>
    <row r="19" spans="1:17" x14ac:dyDescent="0.3">
      <c r="A19" s="55"/>
      <c r="B19" s="53"/>
      <c r="C19" s="55"/>
      <c r="D19" s="55"/>
      <c r="E19" s="55"/>
      <c r="F19" s="55"/>
      <c r="G19" s="53"/>
      <c r="H19" s="53"/>
      <c r="I19" s="53"/>
      <c r="J19" s="53"/>
      <c r="K19" s="53"/>
      <c r="L19" s="53"/>
      <c r="M19" s="53"/>
      <c r="N19" s="53"/>
      <c r="O19" s="53"/>
      <c r="P19" s="56"/>
      <c r="Q19" s="53"/>
    </row>
    <row r="20" spans="1:17" x14ac:dyDescent="0.3">
      <c r="A20" s="55"/>
      <c r="B20" s="53"/>
      <c r="C20" s="55"/>
      <c r="D20" s="55"/>
      <c r="E20" s="55"/>
      <c r="F20" s="55"/>
      <c r="G20" s="53"/>
      <c r="H20" s="53"/>
      <c r="I20" s="53"/>
      <c r="J20" s="53"/>
      <c r="K20" s="53"/>
      <c r="L20" s="53"/>
      <c r="M20" s="53"/>
      <c r="N20" s="53"/>
      <c r="O20" s="53"/>
      <c r="P20" s="56"/>
      <c r="Q20" s="53"/>
    </row>
    <row r="21" spans="1:17" x14ac:dyDescent="0.3">
      <c r="A21" s="55"/>
      <c r="B21" s="53"/>
      <c r="C21" s="55"/>
      <c r="D21" s="55"/>
      <c r="E21" s="55"/>
      <c r="F21" s="55"/>
      <c r="G21" s="53"/>
      <c r="H21" s="53"/>
      <c r="I21" s="53"/>
      <c r="J21" s="53"/>
      <c r="K21" s="53"/>
      <c r="L21" s="53"/>
      <c r="M21" s="55"/>
      <c r="N21" s="53"/>
      <c r="O21" s="53"/>
      <c r="P21" s="56"/>
      <c r="Q21" s="53"/>
    </row>
    <row r="22" spans="1:17" x14ac:dyDescent="0.3">
      <c r="A22" s="55"/>
      <c r="B22" s="53"/>
      <c r="C22" s="55"/>
      <c r="D22" s="55"/>
      <c r="E22" s="55"/>
      <c r="F22" s="55"/>
      <c r="G22" s="53"/>
      <c r="H22" s="53"/>
      <c r="I22" s="53"/>
      <c r="J22" s="53"/>
      <c r="K22" s="53"/>
      <c r="L22" s="53"/>
      <c r="M22" s="57"/>
      <c r="N22" s="53"/>
      <c r="O22" s="57"/>
    </row>
    <row r="23" spans="1:17" x14ac:dyDescent="0.3">
      <c r="A23" s="55"/>
      <c r="B23" s="53"/>
      <c r="C23" s="55"/>
      <c r="D23" s="55"/>
      <c r="E23" s="55"/>
      <c r="F23" s="55"/>
      <c r="G23" s="53"/>
      <c r="H23" s="53"/>
      <c r="I23" s="53"/>
      <c r="J23" s="53"/>
      <c r="K23" s="53"/>
      <c r="L23" s="53"/>
      <c r="M23" s="53"/>
      <c r="N23" s="53"/>
      <c r="O23" s="53"/>
    </row>
    <row r="24" spans="1:17" x14ac:dyDescent="0.3">
      <c r="A24" s="55"/>
      <c r="B24" s="53"/>
      <c r="C24" s="55"/>
      <c r="D24" s="55"/>
      <c r="E24" s="55"/>
      <c r="F24" s="55"/>
      <c r="G24" s="53"/>
      <c r="H24" s="53"/>
      <c r="I24" s="53"/>
      <c r="J24" s="53"/>
      <c r="K24" s="53"/>
      <c r="L24" s="53"/>
      <c r="M24" s="53"/>
      <c r="N24" s="53"/>
      <c r="O24" s="53"/>
    </row>
    <row r="25" spans="1:17" x14ac:dyDescent="0.3">
      <c r="A25" s="55"/>
      <c r="B25" s="53"/>
      <c r="C25" s="55"/>
      <c r="D25" s="55"/>
      <c r="E25" s="55"/>
      <c r="F25" s="55"/>
      <c r="G25" s="53"/>
      <c r="H25" s="53"/>
      <c r="I25" s="53"/>
      <c r="J25" s="53"/>
      <c r="K25" s="53"/>
      <c r="L25" s="53"/>
      <c r="M25" s="53"/>
      <c r="N25" s="53"/>
      <c r="O25" s="53"/>
    </row>
    <row r="26" spans="1:17" x14ac:dyDescent="0.3">
      <c r="A26" s="55"/>
      <c r="B26" s="53"/>
      <c r="C26" s="55"/>
      <c r="D26" s="55"/>
      <c r="E26" s="55"/>
      <c r="F26" s="55"/>
      <c r="G26" s="53"/>
      <c r="H26" s="53"/>
      <c r="I26" s="53"/>
      <c r="J26" s="53"/>
      <c r="K26" s="53"/>
      <c r="L26" s="53"/>
      <c r="M26" s="53"/>
      <c r="N26" s="53"/>
      <c r="O26" s="53"/>
    </row>
    <row r="27" spans="1:17" x14ac:dyDescent="0.3">
      <c r="A27" s="55"/>
      <c r="B27" s="53"/>
      <c r="C27" s="55"/>
      <c r="D27" s="55"/>
      <c r="E27" s="55"/>
      <c r="F27" s="55"/>
      <c r="G27" s="53"/>
      <c r="H27" s="53"/>
      <c r="I27" s="53"/>
      <c r="J27" s="53"/>
      <c r="K27" s="53"/>
      <c r="L27" s="53"/>
      <c r="M27" s="55"/>
      <c r="N27" s="53"/>
    </row>
    <row r="28" spans="1:17" x14ac:dyDescent="0.3">
      <c r="A28" s="55"/>
      <c r="B28" s="53"/>
      <c r="C28" s="55"/>
      <c r="D28" s="55"/>
      <c r="E28" s="55"/>
      <c r="F28" s="55"/>
      <c r="G28" s="53"/>
      <c r="H28" s="53"/>
      <c r="I28" s="53"/>
      <c r="J28" s="53"/>
      <c r="K28" s="53"/>
      <c r="L28" s="53"/>
      <c r="M28" s="55"/>
      <c r="N28" s="53"/>
    </row>
    <row r="29" spans="1:17" x14ac:dyDescent="0.3">
      <c r="A29" s="55"/>
      <c r="B29" s="53"/>
      <c r="C29" s="55"/>
      <c r="D29" s="55"/>
      <c r="E29" s="55"/>
      <c r="F29" s="55"/>
      <c r="G29" s="53"/>
      <c r="H29" s="53"/>
      <c r="I29" s="53"/>
      <c r="J29" s="53"/>
      <c r="K29" s="53"/>
      <c r="L29" s="53"/>
      <c r="M29" s="53"/>
      <c r="N29" s="53"/>
    </row>
    <row r="30" spans="1:17" x14ac:dyDescent="0.3">
      <c r="A30" s="55"/>
      <c r="B30" s="53"/>
      <c r="C30" s="55"/>
      <c r="D30" s="55"/>
      <c r="E30" s="55"/>
      <c r="F30" s="55"/>
      <c r="G30" s="53"/>
      <c r="H30" s="53"/>
      <c r="I30" s="53"/>
      <c r="J30" s="53"/>
      <c r="K30" s="53"/>
      <c r="L30" s="53"/>
      <c r="M30" s="53"/>
      <c r="N30" s="53"/>
    </row>
    <row r="31" spans="1:17" x14ac:dyDescent="0.3">
      <c r="A31" s="55"/>
      <c r="B31" s="53"/>
      <c r="C31" s="55"/>
      <c r="D31" s="55"/>
      <c r="E31" s="55"/>
      <c r="F31" s="55"/>
      <c r="G31" s="53"/>
      <c r="H31" s="53"/>
      <c r="I31" s="53"/>
      <c r="J31" s="53"/>
      <c r="K31" s="53"/>
      <c r="L31" s="53"/>
      <c r="M31" s="53"/>
      <c r="N31" s="53"/>
    </row>
    <row r="32" spans="1:17" x14ac:dyDescent="0.3">
      <c r="A32" s="55"/>
      <c r="B32" s="53"/>
      <c r="C32" s="55"/>
      <c r="D32" s="55"/>
      <c r="E32" s="55"/>
      <c r="F32" s="55"/>
      <c r="G32" s="53"/>
      <c r="H32" s="53"/>
      <c r="I32" s="53"/>
      <c r="J32" s="53"/>
      <c r="K32" s="53"/>
      <c r="L32" s="53"/>
      <c r="M32" s="53"/>
      <c r="N32" s="53"/>
    </row>
    <row r="33" spans="1:14" x14ac:dyDescent="0.3">
      <c r="A33" s="55"/>
      <c r="B33" s="53"/>
      <c r="C33" s="55"/>
      <c r="D33" s="55"/>
      <c r="E33" s="55"/>
      <c r="F33" s="55"/>
      <c r="G33" s="53"/>
      <c r="H33" s="53"/>
      <c r="I33" s="53"/>
      <c r="J33" s="53"/>
      <c r="K33" s="53"/>
      <c r="L33" s="53"/>
      <c r="M33" s="53"/>
      <c r="N33" s="53"/>
    </row>
    <row r="34" spans="1:14" x14ac:dyDescent="0.3">
      <c r="A34" s="55"/>
      <c r="B34" s="53"/>
      <c r="C34" s="55"/>
      <c r="D34" s="55"/>
      <c r="E34" s="55"/>
      <c r="F34" s="55"/>
      <c r="G34" s="53"/>
      <c r="H34" s="53"/>
      <c r="I34" s="53"/>
      <c r="J34" s="53"/>
      <c r="K34" s="53"/>
      <c r="L34" s="53"/>
      <c r="M34" s="55"/>
      <c r="N34" s="55"/>
    </row>
    <row r="35" spans="1:14" x14ac:dyDescent="0.3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</row>
    <row r="36" spans="1:14" x14ac:dyDescent="0.3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</row>
    <row r="37" spans="1:14" x14ac:dyDescent="0.3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</row>
    <row r="38" spans="1:14" x14ac:dyDescent="0.3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</row>
    <row r="39" spans="1:14" x14ac:dyDescent="0.3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</row>
    <row r="40" spans="1:14" x14ac:dyDescent="0.3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</row>
    <row r="41" spans="1:14" x14ac:dyDescent="0.3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</row>
    <row r="42" spans="1:14" x14ac:dyDescent="0.3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</row>
    <row r="43" spans="1:14" x14ac:dyDescent="0.3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</row>
    <row r="44" spans="1:14" x14ac:dyDescent="0.3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</row>
    <row r="45" spans="1:14" x14ac:dyDescent="0.3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</row>
    <row r="46" spans="1:14" x14ac:dyDescent="0.3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</row>
    <row r="47" spans="1:14" x14ac:dyDescent="0.3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</row>
    <row r="48" spans="1:14" x14ac:dyDescent="0.3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</row>
    <row r="49" spans="1:14" x14ac:dyDescent="0.3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</row>
    <row r="50" spans="1:14" x14ac:dyDescent="0.3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</row>
    <row r="51" spans="1:14" x14ac:dyDescent="0.3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</row>
    <row r="52" spans="1:14" x14ac:dyDescent="0.3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</row>
    <row r="53" spans="1:14" x14ac:dyDescent="0.3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</row>
    <row r="54" spans="1:14" x14ac:dyDescent="0.3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</row>
    <row r="55" spans="1:14" x14ac:dyDescent="0.3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</row>
    <row r="56" spans="1:14" x14ac:dyDescent="0.3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</row>
    <row r="57" spans="1:14" x14ac:dyDescent="0.3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</row>
    <row r="58" spans="1:14" x14ac:dyDescent="0.3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</row>
    <row r="59" spans="1:14" x14ac:dyDescent="0.3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</row>
    <row r="60" spans="1:14" x14ac:dyDescent="0.3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</row>
    <row r="61" spans="1:14" x14ac:dyDescent="0.3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</row>
    <row r="62" spans="1:14" x14ac:dyDescent="0.3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</row>
    <row r="63" spans="1:14" x14ac:dyDescent="0.3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</row>
    <row r="64" spans="1:14" x14ac:dyDescent="0.3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</row>
    <row r="65" spans="1:14" x14ac:dyDescent="0.3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</row>
    <row r="66" spans="1:14" x14ac:dyDescent="0.3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</row>
    <row r="67" spans="1:14" x14ac:dyDescent="0.3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</row>
    <row r="68" spans="1:14" x14ac:dyDescent="0.3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</row>
    <row r="69" spans="1:14" x14ac:dyDescent="0.3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</row>
    <row r="70" spans="1:14" x14ac:dyDescent="0.3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</row>
    <row r="71" spans="1:14" x14ac:dyDescent="0.3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</row>
    <row r="72" spans="1:14" x14ac:dyDescent="0.3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</row>
    <row r="73" spans="1:14" x14ac:dyDescent="0.3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</row>
    <row r="74" spans="1:14" x14ac:dyDescent="0.3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</row>
    <row r="75" spans="1:14" x14ac:dyDescent="0.3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</row>
    <row r="76" spans="1:14" x14ac:dyDescent="0.3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</row>
    <row r="77" spans="1:14" x14ac:dyDescent="0.3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</row>
    <row r="78" spans="1:14" x14ac:dyDescent="0.3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</row>
    <row r="79" spans="1:14" x14ac:dyDescent="0.3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</row>
    <row r="80" spans="1:14" x14ac:dyDescent="0.3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</row>
    <row r="81" spans="1:14" x14ac:dyDescent="0.3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</row>
    <row r="82" spans="1:14" x14ac:dyDescent="0.3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</row>
    <row r="83" spans="1:14" x14ac:dyDescent="0.3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</row>
    <row r="84" spans="1:14" x14ac:dyDescent="0.3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</row>
    <row r="85" spans="1:14" x14ac:dyDescent="0.3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</row>
    <row r="86" spans="1:14" x14ac:dyDescent="0.3">
      <c r="A86" s="55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</row>
    <row r="87" spans="1:14" x14ac:dyDescent="0.3">
      <c r="A87" s="55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</row>
    <row r="88" spans="1:14" x14ac:dyDescent="0.3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</row>
    <row r="89" spans="1:14" x14ac:dyDescent="0.3">
      <c r="A89" s="55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</row>
    <row r="90" spans="1:14" x14ac:dyDescent="0.3">
      <c r="A90" s="55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</row>
    <row r="91" spans="1:14" x14ac:dyDescent="0.3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</row>
    <row r="92" spans="1:14" x14ac:dyDescent="0.3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</row>
    <row r="93" spans="1:14" x14ac:dyDescent="0.3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</row>
    <row r="94" spans="1:14" x14ac:dyDescent="0.3">
      <c r="A94" s="55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</row>
    <row r="95" spans="1:14" x14ac:dyDescent="0.3">
      <c r="A95" s="55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</row>
    <row r="96" spans="1:14" x14ac:dyDescent="0.3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</row>
    <row r="97" spans="1:14" x14ac:dyDescent="0.3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</row>
    <row r="98" spans="1:14" x14ac:dyDescent="0.3">
      <c r="A98" s="55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</row>
    <row r="99" spans="1:14" x14ac:dyDescent="0.3">
      <c r="A99" s="55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</row>
    <row r="100" spans="1:14" x14ac:dyDescent="0.3">
      <c r="A100" s="55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</row>
    <row r="101" spans="1:14" x14ac:dyDescent="0.3">
      <c r="A101" s="55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</row>
    <row r="102" spans="1:14" x14ac:dyDescent="0.3">
      <c r="A102" s="55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</row>
    <row r="103" spans="1:14" x14ac:dyDescent="0.3">
      <c r="A103" s="55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</row>
    <row r="104" spans="1:14" x14ac:dyDescent="0.3">
      <c r="A104" s="55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</row>
    <row r="105" spans="1:14" x14ac:dyDescent="0.3">
      <c r="A105" s="55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</row>
    <row r="106" spans="1:14" x14ac:dyDescent="0.3">
      <c r="A106" s="55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</row>
    <row r="107" spans="1:14" x14ac:dyDescent="0.3">
      <c r="A107" s="55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</row>
    <row r="108" spans="1:14" x14ac:dyDescent="0.3">
      <c r="A108" s="55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</row>
    <row r="109" spans="1:14" x14ac:dyDescent="0.3">
      <c r="A109" s="55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</row>
    <row r="110" spans="1:14" x14ac:dyDescent="0.3">
      <c r="A110" s="55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</row>
    <row r="111" spans="1:14" x14ac:dyDescent="0.3">
      <c r="A111" s="55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</row>
    <row r="112" spans="1:14" x14ac:dyDescent="0.3">
      <c r="A112" s="55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</row>
    <row r="113" spans="1:14" x14ac:dyDescent="0.3">
      <c r="A113" s="55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</row>
    <row r="114" spans="1:14" x14ac:dyDescent="0.3">
      <c r="A114" s="55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</row>
    <row r="115" spans="1:14" x14ac:dyDescent="0.3">
      <c r="A115" s="55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</row>
    <row r="116" spans="1:14" x14ac:dyDescent="0.3">
      <c r="A116" s="55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</row>
    <row r="117" spans="1:14" x14ac:dyDescent="0.3">
      <c r="A117" s="55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</row>
    <row r="118" spans="1:14" x14ac:dyDescent="0.3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</row>
    <row r="119" spans="1:14" x14ac:dyDescent="0.3">
      <c r="A119" s="55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</row>
    <row r="120" spans="1:14" x14ac:dyDescent="0.3">
      <c r="A120" s="55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</row>
    <row r="121" spans="1:14" x14ac:dyDescent="0.3">
      <c r="A121" s="55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</row>
    <row r="122" spans="1:14" x14ac:dyDescent="0.3">
      <c r="A122" s="55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</row>
    <row r="123" spans="1:14" x14ac:dyDescent="0.3">
      <c r="A123" s="55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</row>
    <row r="124" spans="1:14" x14ac:dyDescent="0.3">
      <c r="A124" s="55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</row>
    <row r="125" spans="1:14" x14ac:dyDescent="0.3">
      <c r="A125" s="55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</row>
    <row r="126" spans="1:14" x14ac:dyDescent="0.3">
      <c r="A126" s="55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</row>
    <row r="127" spans="1:14" x14ac:dyDescent="0.3">
      <c r="A127" s="55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</row>
    <row r="128" spans="1:14" x14ac:dyDescent="0.3">
      <c r="A128" s="55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</row>
    <row r="129" spans="1:14" x14ac:dyDescent="0.3">
      <c r="A129" s="55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</row>
    <row r="130" spans="1:14" x14ac:dyDescent="0.3">
      <c r="A130" s="55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</row>
    <row r="131" spans="1:14" x14ac:dyDescent="0.3">
      <c r="A131" s="55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</row>
    <row r="132" spans="1:14" x14ac:dyDescent="0.3">
      <c r="A132" s="55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</row>
    <row r="133" spans="1:14" x14ac:dyDescent="0.3">
      <c r="A133" s="55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</row>
    <row r="134" spans="1:14" x14ac:dyDescent="0.3">
      <c r="A134" s="55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</row>
    <row r="135" spans="1:14" x14ac:dyDescent="0.3">
      <c r="A135" s="55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</row>
    <row r="136" spans="1:14" x14ac:dyDescent="0.3">
      <c r="A136" s="55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</row>
    <row r="137" spans="1:14" x14ac:dyDescent="0.3">
      <c r="A137" s="55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</row>
    <row r="138" spans="1:14" x14ac:dyDescent="0.3">
      <c r="A138" s="55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</row>
    <row r="139" spans="1:14" x14ac:dyDescent="0.3">
      <c r="A139" s="55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</row>
    <row r="140" spans="1:14" x14ac:dyDescent="0.3">
      <c r="A140" s="55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</row>
    <row r="141" spans="1:14" x14ac:dyDescent="0.3">
      <c r="A141" s="55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</row>
    <row r="142" spans="1:14" x14ac:dyDescent="0.3">
      <c r="A142" s="55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</row>
    <row r="143" spans="1:14" x14ac:dyDescent="0.3">
      <c r="A143" s="55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</row>
    <row r="144" spans="1:14" x14ac:dyDescent="0.3">
      <c r="A144" s="55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</row>
    <row r="145" spans="1:14" x14ac:dyDescent="0.3">
      <c r="A145" s="55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</row>
    <row r="146" spans="1:14" x14ac:dyDescent="0.3">
      <c r="A146" s="55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</row>
    <row r="147" spans="1:14" x14ac:dyDescent="0.3">
      <c r="A147" s="55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</row>
    <row r="148" spans="1:14" x14ac:dyDescent="0.3">
      <c r="A148" s="55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</row>
    <row r="149" spans="1:14" x14ac:dyDescent="0.3">
      <c r="A149" s="55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</row>
    <row r="150" spans="1:14" x14ac:dyDescent="0.3">
      <c r="A150" s="55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</row>
    <row r="151" spans="1:14" x14ac:dyDescent="0.3">
      <c r="A151" s="55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</row>
    <row r="152" spans="1:14" x14ac:dyDescent="0.3">
      <c r="A152" s="55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</row>
    <row r="153" spans="1:14" x14ac:dyDescent="0.3">
      <c r="A153" s="55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</row>
    <row r="154" spans="1:14" x14ac:dyDescent="0.3">
      <c r="A154" s="55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</row>
    <row r="155" spans="1:14" x14ac:dyDescent="0.3">
      <c r="A155" s="55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</row>
    <row r="156" spans="1:14" x14ac:dyDescent="0.3">
      <c r="A156" s="55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</row>
    <row r="157" spans="1:14" x14ac:dyDescent="0.3">
      <c r="A157" s="55"/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</row>
    <row r="158" spans="1:14" x14ac:dyDescent="0.3">
      <c r="A158" s="55"/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</row>
    <row r="159" spans="1:14" x14ac:dyDescent="0.3">
      <c r="A159" s="55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</row>
    <row r="160" spans="1:14" x14ac:dyDescent="0.3">
      <c r="A160" s="55"/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</row>
    <row r="161" spans="1:14" x14ac:dyDescent="0.3">
      <c r="A161" s="55"/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</row>
    <row r="162" spans="1:14" x14ac:dyDescent="0.3">
      <c r="A162" s="55"/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</row>
    <row r="163" spans="1:14" x14ac:dyDescent="0.3">
      <c r="A163" s="55"/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</row>
    <row r="164" spans="1:14" x14ac:dyDescent="0.3">
      <c r="A164" s="55"/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</row>
    <row r="165" spans="1:14" x14ac:dyDescent="0.3">
      <c r="A165" s="55"/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</row>
    <row r="166" spans="1:14" x14ac:dyDescent="0.3">
      <c r="A166" s="55"/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</row>
    <row r="167" spans="1:14" x14ac:dyDescent="0.3">
      <c r="A167" s="55"/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</row>
    <row r="168" spans="1:14" x14ac:dyDescent="0.3">
      <c r="A168" s="55"/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</row>
    <row r="169" spans="1:14" x14ac:dyDescent="0.3">
      <c r="A169" s="55"/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</row>
    <row r="170" spans="1:14" x14ac:dyDescent="0.3">
      <c r="A170" s="55"/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</row>
    <row r="171" spans="1:14" x14ac:dyDescent="0.3">
      <c r="A171" s="55"/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</row>
    <row r="172" spans="1:14" x14ac:dyDescent="0.3">
      <c r="A172" s="55"/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</row>
    <row r="173" spans="1:14" x14ac:dyDescent="0.3">
      <c r="A173" s="55"/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</row>
    <row r="174" spans="1:14" x14ac:dyDescent="0.3">
      <c r="A174" s="55"/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</row>
    <row r="175" spans="1:14" x14ac:dyDescent="0.3">
      <c r="A175" s="55"/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</row>
    <row r="176" spans="1:14" x14ac:dyDescent="0.3">
      <c r="A176" s="55"/>
      <c r="B176" s="55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</row>
    <row r="177" spans="1:14" x14ac:dyDescent="0.3">
      <c r="A177" s="55"/>
      <c r="B177" s="55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</row>
    <row r="178" spans="1:14" x14ac:dyDescent="0.3">
      <c r="A178" s="55"/>
      <c r="B178" s="55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</row>
    <row r="179" spans="1:14" x14ac:dyDescent="0.3">
      <c r="A179" s="55"/>
      <c r="B179" s="55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</row>
    <row r="180" spans="1:14" x14ac:dyDescent="0.3">
      <c r="A180" s="55"/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</row>
    <row r="181" spans="1:14" x14ac:dyDescent="0.3">
      <c r="A181" s="55"/>
      <c r="B181" s="55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</row>
    <row r="182" spans="1:14" x14ac:dyDescent="0.3">
      <c r="A182" s="55"/>
      <c r="B182" s="55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</row>
    <row r="183" spans="1:14" x14ac:dyDescent="0.3">
      <c r="A183" s="55"/>
      <c r="B183" s="55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</row>
    <row r="184" spans="1:14" x14ac:dyDescent="0.3">
      <c r="A184" s="55"/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</row>
    <row r="185" spans="1:14" x14ac:dyDescent="0.3">
      <c r="A185" s="55"/>
      <c r="B185" s="55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</row>
    <row r="186" spans="1:14" x14ac:dyDescent="0.3">
      <c r="A186" s="55"/>
      <c r="B186" s="55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</row>
    <row r="187" spans="1:14" x14ac:dyDescent="0.3">
      <c r="A187" s="55"/>
      <c r="B187" s="55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</row>
    <row r="188" spans="1:14" x14ac:dyDescent="0.3">
      <c r="A188" s="55"/>
      <c r="B188" s="55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</row>
    <row r="189" spans="1:14" x14ac:dyDescent="0.3">
      <c r="A189" s="55"/>
      <c r="B189" s="55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</row>
    <row r="190" spans="1:14" x14ac:dyDescent="0.3">
      <c r="A190" s="55"/>
      <c r="B190" s="55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</row>
    <row r="191" spans="1:14" x14ac:dyDescent="0.3">
      <c r="A191" s="55"/>
      <c r="B191" s="55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</row>
    <row r="192" spans="1:14" x14ac:dyDescent="0.3">
      <c r="A192" s="55"/>
      <c r="B192" s="55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</row>
    <row r="193" spans="1:14" x14ac:dyDescent="0.3">
      <c r="A193" s="55"/>
      <c r="B193" s="55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</row>
    <row r="194" spans="1:14" x14ac:dyDescent="0.3">
      <c r="A194" s="55"/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</row>
    <row r="195" spans="1:14" x14ac:dyDescent="0.3">
      <c r="A195" s="55"/>
      <c r="B195" s="55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</row>
    <row r="196" spans="1:14" x14ac:dyDescent="0.3">
      <c r="A196" s="55"/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</row>
    <row r="197" spans="1:14" x14ac:dyDescent="0.3">
      <c r="A197" s="55"/>
      <c r="B197" s="55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</row>
    <row r="198" spans="1:14" x14ac:dyDescent="0.3">
      <c r="A198" s="55"/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</row>
    <row r="199" spans="1:14" x14ac:dyDescent="0.3">
      <c r="A199" s="55"/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</row>
    <row r="200" spans="1:14" x14ac:dyDescent="0.3">
      <c r="A200" s="55"/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</row>
    <row r="201" spans="1:14" x14ac:dyDescent="0.3">
      <c r="A201" s="55"/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</row>
    <row r="202" spans="1:14" x14ac:dyDescent="0.3">
      <c r="A202" s="55"/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</row>
    <row r="203" spans="1:14" x14ac:dyDescent="0.3">
      <c r="A203" s="55"/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</row>
    <row r="204" spans="1:14" x14ac:dyDescent="0.3">
      <c r="A204" s="55"/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</row>
    <row r="205" spans="1:14" x14ac:dyDescent="0.3">
      <c r="A205" s="55"/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</row>
    <row r="206" spans="1:14" x14ac:dyDescent="0.3">
      <c r="A206" s="55"/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</row>
    <row r="207" spans="1:14" x14ac:dyDescent="0.3">
      <c r="A207" s="55"/>
      <c r="B207" s="55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</row>
    <row r="208" spans="1:14" x14ac:dyDescent="0.3">
      <c r="A208" s="55"/>
      <c r="B208" s="55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</row>
    <row r="209" spans="1:14" x14ac:dyDescent="0.3">
      <c r="A209" s="55"/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</row>
    <row r="210" spans="1:14" x14ac:dyDescent="0.3">
      <c r="A210" s="55"/>
      <c r="B210" s="55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</row>
    <row r="211" spans="1:14" x14ac:dyDescent="0.3">
      <c r="A211" s="55"/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</row>
    <row r="212" spans="1:14" x14ac:dyDescent="0.3">
      <c r="A212" s="55"/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</row>
    <row r="213" spans="1:14" x14ac:dyDescent="0.3">
      <c r="A213" s="55"/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</row>
    <row r="214" spans="1:14" x14ac:dyDescent="0.3">
      <c r="A214" s="55"/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</row>
    <row r="215" spans="1:14" x14ac:dyDescent="0.3">
      <c r="A215" s="55"/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</row>
    <row r="216" spans="1:14" x14ac:dyDescent="0.3">
      <c r="A216" s="55"/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</row>
    <row r="217" spans="1:14" x14ac:dyDescent="0.3">
      <c r="A217" s="55"/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</row>
    <row r="218" spans="1:14" x14ac:dyDescent="0.3">
      <c r="A218" s="55"/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</row>
    <row r="219" spans="1:14" x14ac:dyDescent="0.3">
      <c r="A219" s="55"/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</row>
  </sheetData>
  <mergeCells count="14">
    <mergeCell ref="C2:D2"/>
    <mergeCell ref="B2:B3"/>
    <mergeCell ref="C9:D9"/>
    <mergeCell ref="B9:B10"/>
    <mergeCell ref="E9:F9"/>
    <mergeCell ref="E2:F2"/>
    <mergeCell ref="M2:N2"/>
    <mergeCell ref="M9:N9"/>
    <mergeCell ref="G2:H2"/>
    <mergeCell ref="I2:J2"/>
    <mergeCell ref="K2:L2"/>
    <mergeCell ref="G9:H9"/>
    <mergeCell ref="I9:J9"/>
    <mergeCell ref="K9:L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V64"/>
  <sheetViews>
    <sheetView workbookViewId="0">
      <selection activeCell="I43" sqref="I43"/>
    </sheetView>
  </sheetViews>
  <sheetFormatPr defaultRowHeight="15" x14ac:dyDescent="0.25"/>
  <cols>
    <col min="1" max="1" width="24.42578125" style="80" customWidth="1"/>
    <col min="2" max="2" width="3.140625" style="80" customWidth="1"/>
    <col min="3" max="22" width="11.28515625" style="80" customWidth="1"/>
    <col min="23" max="16384" width="9.140625" style="80"/>
  </cols>
  <sheetData>
    <row r="1" spans="1:22" ht="16.5" x14ac:dyDescent="0.3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22" s="102" customFormat="1" ht="16.5" x14ac:dyDescent="0.3">
      <c r="A2" s="6" t="s">
        <v>44</v>
      </c>
      <c r="B2" s="6"/>
      <c r="C2" s="95">
        <v>42736</v>
      </c>
      <c r="D2" s="95">
        <v>43101</v>
      </c>
      <c r="E2" s="95">
        <v>43466</v>
      </c>
      <c r="F2" s="95">
        <v>43831</v>
      </c>
      <c r="G2" s="95">
        <v>44197</v>
      </c>
      <c r="H2" s="95">
        <v>44562</v>
      </c>
      <c r="I2" s="95">
        <v>44927</v>
      </c>
      <c r="J2" s="95">
        <v>45292</v>
      </c>
      <c r="K2" s="95">
        <v>45658</v>
      </c>
      <c r="L2" s="95">
        <v>46023</v>
      </c>
      <c r="M2" s="95">
        <v>46388</v>
      </c>
      <c r="N2" s="95">
        <v>46753</v>
      </c>
      <c r="O2" s="95">
        <v>47119</v>
      </c>
      <c r="P2" s="95">
        <v>47484</v>
      </c>
      <c r="Q2" s="95">
        <v>47849</v>
      </c>
      <c r="R2" s="95">
        <v>48214</v>
      </c>
      <c r="S2" s="95">
        <v>48580</v>
      </c>
      <c r="T2" s="95">
        <v>48945</v>
      </c>
      <c r="U2" s="95">
        <v>49310</v>
      </c>
      <c r="V2" s="95">
        <v>49675</v>
      </c>
    </row>
    <row r="3" spans="1:22" ht="16.5" x14ac:dyDescent="0.3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1:22" ht="16.5" x14ac:dyDescent="0.3">
      <c r="A4" s="81" t="s">
        <v>47</v>
      </c>
      <c r="B4" s="81"/>
      <c r="C4" s="82">
        <f>-Kalkulačka!C4</f>
        <v>-4477465</v>
      </c>
      <c r="D4" s="82">
        <f>C4*(1+Kalkulačka!$C$3)</f>
        <v>-4567014.3</v>
      </c>
      <c r="E4" s="82">
        <f>D4*(1+Kalkulačka!$C$3)</f>
        <v>-4658354.5860000001</v>
      </c>
      <c r="F4" s="82">
        <f>E4*(1+Kalkulačka!$C$3)</f>
        <v>-4751521.67772</v>
      </c>
      <c r="G4" s="82">
        <f>F4*(1+Kalkulačka!$C$3)</f>
        <v>-4846552.1112743998</v>
      </c>
      <c r="H4" s="82">
        <f>G4*(1+Kalkulačka!$C$3)</f>
        <v>-4943483.1534998883</v>
      </c>
      <c r="I4" s="82">
        <f>H4*(1+Kalkulačka!$C$3)</f>
        <v>-5042352.8165698862</v>
      </c>
      <c r="J4" s="82">
        <f>I4*(1+Kalkulačka!$C$3)</f>
        <v>-5143199.8729012841</v>
      </c>
      <c r="K4" s="82">
        <f>J4*(1+Kalkulačka!$C$3)</f>
        <v>-5246063.8703593099</v>
      </c>
      <c r="L4" s="82">
        <f>K4*(1+Kalkulačka!$C$3)</f>
        <v>-5350985.1477664961</v>
      </c>
      <c r="M4" s="82">
        <f>L4*(1+Kalkulačka!$C$3)</f>
        <v>-5458004.8507218258</v>
      </c>
      <c r="N4" s="82">
        <f>M4*(1+Kalkulačka!$C$3)</f>
        <v>-5567164.9477362623</v>
      </c>
      <c r="O4" s="82">
        <f>N4*(1+Kalkulačka!$C$3)</f>
        <v>-5678508.2466909876</v>
      </c>
      <c r="P4" s="82">
        <f>O4*(1+Kalkulačka!$C$3)</f>
        <v>-5792078.4116248079</v>
      </c>
      <c r="Q4" s="82">
        <f>P4*(1+Kalkulačka!$C$3)</f>
        <v>-5907919.9798573041</v>
      </c>
      <c r="R4" s="82">
        <f>Q4*(1+Kalkulačka!$C$3)</f>
        <v>-6026078.3794544507</v>
      </c>
      <c r="S4" s="82">
        <f>R4*(1+Kalkulačka!$C$3)</f>
        <v>-6146599.94704354</v>
      </c>
      <c r="T4" s="82">
        <f>S4*(1+Kalkulačka!$C$3)</f>
        <v>-6269531.9459844111</v>
      </c>
      <c r="U4" s="82">
        <f>T4*(1+Kalkulačka!$C$3)</f>
        <v>-6394922.5849040998</v>
      </c>
      <c r="V4" s="82">
        <f>U4*(1+Kalkulačka!$C$3)</f>
        <v>-6522821.0366021823</v>
      </c>
    </row>
    <row r="5" spans="1:22" ht="16.5" x14ac:dyDescent="0.3">
      <c r="A5" s="83">
        <f>XNPV(Kalkulačka!C2,C5:V5,C2:V2)</f>
        <v>12096344419.737463</v>
      </c>
      <c r="B5" s="79"/>
      <c r="C5" s="83">
        <f>Predpoklady!L2</f>
        <v>604882850</v>
      </c>
      <c r="D5" s="83">
        <f>C5*(1+Kalkulačka!$C$3)</f>
        <v>616980507</v>
      </c>
      <c r="E5" s="83">
        <f>D5*(1+Kalkulačka!$C$3)</f>
        <v>629320117.13999999</v>
      </c>
      <c r="F5" s="83">
        <f>E5*(1+Kalkulačka!$C$3)</f>
        <v>641906519.48280001</v>
      </c>
      <c r="G5" s="83">
        <f>F5*(1+Kalkulačka!$C$3)</f>
        <v>654744649.87245607</v>
      </c>
      <c r="H5" s="83">
        <f>G5*(1+Kalkulačka!$C$3)</f>
        <v>667839542.86990523</v>
      </c>
      <c r="I5" s="83">
        <f>H5*(1+Kalkulačka!$C$3)</f>
        <v>681196333.72730339</v>
      </c>
      <c r="J5" s="83">
        <f>I5*(1+Kalkulačka!$C$3)</f>
        <v>694820260.40184951</v>
      </c>
      <c r="K5" s="83">
        <f>J5*(1+Kalkulačka!$C$3)</f>
        <v>708716665.60988653</v>
      </c>
      <c r="L5" s="83">
        <f>K5*(1+Kalkulačka!$C$3)</f>
        <v>722890998.92208421</v>
      </c>
      <c r="M5" s="83">
        <f>L5*(1+Kalkulačka!$C$3)</f>
        <v>737348818.90052593</v>
      </c>
      <c r="N5" s="83">
        <f>M5*(1+Kalkulačka!$C$3)</f>
        <v>752095795.27853644</v>
      </c>
      <c r="O5" s="83">
        <f>N5*(1+Kalkulačka!$C$3)</f>
        <v>767137711.18410718</v>
      </c>
      <c r="P5" s="83">
        <f>O5*(1+Kalkulačka!$C$3)</f>
        <v>782480465.40778935</v>
      </c>
      <c r="Q5" s="83">
        <f>P5*(1+Kalkulačka!$C$3)</f>
        <v>798130074.71594512</v>
      </c>
      <c r="R5" s="83">
        <f>Q5*(1+Kalkulačka!$C$3)</f>
        <v>814092676.21026409</v>
      </c>
      <c r="S5" s="83">
        <f>R5*(1+Kalkulačka!$C$3)</f>
        <v>830374529.73446941</v>
      </c>
      <c r="T5" s="83">
        <f>S5*(1+Kalkulačka!$C$3)</f>
        <v>846982020.32915878</v>
      </c>
      <c r="U5" s="83">
        <f>T5*(1+Kalkulačka!$C$3)</f>
        <v>863921660.73574197</v>
      </c>
      <c r="V5" s="83">
        <f>U5*(1+Kalkulačka!$C$3)</f>
        <v>881200093.95045686</v>
      </c>
    </row>
    <row r="6" spans="1:22" ht="16.5" x14ac:dyDescent="0.3">
      <c r="A6" s="83">
        <f>A5*0.02/20</f>
        <v>12096344.419737462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</row>
    <row r="7" spans="1:22" s="102" customFormat="1" ht="16.5" x14ac:dyDescent="0.3">
      <c r="A7" s="6" t="s">
        <v>49</v>
      </c>
      <c r="B7" s="6"/>
      <c r="C7" s="95">
        <v>42736</v>
      </c>
      <c r="D7" s="95">
        <v>43101</v>
      </c>
      <c r="E7" s="95">
        <v>43466</v>
      </c>
      <c r="F7" s="95">
        <v>43831</v>
      </c>
      <c r="G7" s="95">
        <v>44197</v>
      </c>
      <c r="H7" s="95">
        <v>44562</v>
      </c>
      <c r="I7" s="95">
        <v>44927</v>
      </c>
      <c r="J7" s="95">
        <v>45292</v>
      </c>
      <c r="K7" s="95">
        <v>45658</v>
      </c>
      <c r="L7" s="95">
        <v>46023</v>
      </c>
      <c r="M7" s="95">
        <v>46388</v>
      </c>
      <c r="N7" s="95">
        <v>46753</v>
      </c>
      <c r="O7" s="95">
        <v>47119</v>
      </c>
      <c r="P7" s="95">
        <v>47484</v>
      </c>
      <c r="Q7" s="95">
        <v>47849</v>
      </c>
      <c r="R7" s="95">
        <v>48214</v>
      </c>
      <c r="S7" s="95">
        <v>48580</v>
      </c>
      <c r="T7" s="95">
        <v>48945</v>
      </c>
      <c r="U7" s="95">
        <v>49310</v>
      </c>
      <c r="V7" s="95">
        <v>49675</v>
      </c>
    </row>
    <row r="8" spans="1:22" ht="16.5" x14ac:dyDescent="0.3">
      <c r="A8" s="76"/>
      <c r="B8" s="84"/>
      <c r="C8" s="85"/>
      <c r="D8" s="86"/>
      <c r="E8" s="85"/>
      <c r="F8" s="85"/>
      <c r="G8" s="86"/>
      <c r="H8" s="85"/>
      <c r="I8" s="85"/>
      <c r="J8" s="86"/>
      <c r="K8" s="85"/>
      <c r="L8" s="85"/>
      <c r="M8" s="86"/>
      <c r="N8" s="85"/>
      <c r="O8" s="85"/>
      <c r="P8" s="86"/>
      <c r="Q8" s="85"/>
      <c r="R8" s="85"/>
      <c r="S8" s="86"/>
      <c r="T8" s="85"/>
      <c r="U8" s="85"/>
      <c r="V8" s="86"/>
    </row>
    <row r="9" spans="1:22" ht="16.5" x14ac:dyDescent="0.3">
      <c r="A9" s="58" t="s">
        <v>46</v>
      </c>
      <c r="B9" s="84"/>
      <c r="C9" s="87">
        <f>C4</f>
        <v>-4477465</v>
      </c>
      <c r="D9" s="87">
        <f t="shared" ref="D9:V9" si="0">D4</f>
        <v>-4567014.3</v>
      </c>
      <c r="E9" s="87">
        <f t="shared" si="0"/>
        <v>-4658354.5860000001</v>
      </c>
      <c r="F9" s="87">
        <f t="shared" si="0"/>
        <v>-4751521.67772</v>
      </c>
      <c r="G9" s="87">
        <f t="shared" si="0"/>
        <v>-4846552.1112743998</v>
      </c>
      <c r="H9" s="87">
        <f t="shared" si="0"/>
        <v>-4943483.1534998883</v>
      </c>
      <c r="I9" s="87">
        <f t="shared" si="0"/>
        <v>-5042352.8165698862</v>
      </c>
      <c r="J9" s="87">
        <f t="shared" si="0"/>
        <v>-5143199.8729012841</v>
      </c>
      <c r="K9" s="87">
        <f t="shared" si="0"/>
        <v>-5246063.8703593099</v>
      </c>
      <c r="L9" s="87">
        <f t="shared" si="0"/>
        <v>-5350985.1477664961</v>
      </c>
      <c r="M9" s="87">
        <f t="shared" si="0"/>
        <v>-5458004.8507218258</v>
      </c>
      <c r="N9" s="87">
        <f t="shared" si="0"/>
        <v>-5567164.9477362623</v>
      </c>
      <c r="O9" s="87">
        <f t="shared" si="0"/>
        <v>-5678508.2466909876</v>
      </c>
      <c r="P9" s="87">
        <f t="shared" si="0"/>
        <v>-5792078.4116248079</v>
      </c>
      <c r="Q9" s="87">
        <f t="shared" si="0"/>
        <v>-5907919.9798573041</v>
      </c>
      <c r="R9" s="87">
        <f t="shared" si="0"/>
        <v>-6026078.3794544507</v>
      </c>
      <c r="S9" s="87">
        <f t="shared" si="0"/>
        <v>-6146599.94704354</v>
      </c>
      <c r="T9" s="87">
        <f t="shared" si="0"/>
        <v>-6269531.9459844111</v>
      </c>
      <c r="U9" s="87">
        <f t="shared" si="0"/>
        <v>-6394922.5849040998</v>
      </c>
      <c r="V9" s="87">
        <f t="shared" si="0"/>
        <v>-6522821.0366021823</v>
      </c>
    </row>
    <row r="10" spans="1:22" ht="16.5" x14ac:dyDescent="0.3">
      <c r="A10" s="58" t="s">
        <v>170</v>
      </c>
      <c r="B10" s="84"/>
      <c r="C10" s="87">
        <f>IF(Kalkulačka!A1="Senica",Predpoklady!C3,Predpoklady!C2)</f>
        <v>172893</v>
      </c>
      <c r="D10" s="87">
        <f>C10*(1+Kalkulačka!$C$3)</f>
        <v>176350.86000000002</v>
      </c>
      <c r="E10" s="87">
        <f>D10*(1+Kalkulačka!$C$3)</f>
        <v>179877.87720000002</v>
      </c>
      <c r="F10" s="87">
        <f>E10*(1+Kalkulačka!$C$3)</f>
        <v>183475.43474400003</v>
      </c>
      <c r="G10" s="87">
        <f>F10*(1+Kalkulačka!$C$3)</f>
        <v>187144.94343888003</v>
      </c>
      <c r="H10" s="87">
        <f>G10*(1+Kalkulačka!$C$3)</f>
        <v>190887.84230765764</v>
      </c>
      <c r="I10" s="87">
        <f>H10*(1+Kalkulačka!$C$3)</f>
        <v>194705.59915381079</v>
      </c>
      <c r="J10" s="87">
        <f>I10*(1+Kalkulačka!$C$3)</f>
        <v>198599.71113688702</v>
      </c>
      <c r="K10" s="87">
        <f>J10*(1+Kalkulačka!$C$3)</f>
        <v>202571.70535962476</v>
      </c>
      <c r="L10" s="87">
        <f>K10*(1+Kalkulačka!$C$3)</f>
        <v>206623.13946681726</v>
      </c>
      <c r="M10" s="87">
        <f>L10*(1+Kalkulačka!$C$3)</f>
        <v>210755.60225615359</v>
      </c>
      <c r="N10" s="87">
        <f>M10*(1+Kalkulačka!$C$3)</f>
        <v>214970.71430127666</v>
      </c>
      <c r="O10" s="87">
        <f>N10*(1+Kalkulačka!$C$3)</f>
        <v>219270.1285873022</v>
      </c>
      <c r="P10" s="87">
        <f>O10*(1+Kalkulačka!$C$3)</f>
        <v>223655.53115904826</v>
      </c>
      <c r="Q10" s="87">
        <f>P10*(1+Kalkulačka!$C$3)</f>
        <v>228128.64178222924</v>
      </c>
      <c r="R10" s="87">
        <f>Q10*(1+Kalkulačka!$C$3)</f>
        <v>232691.21461787383</v>
      </c>
      <c r="S10" s="87">
        <f>R10*(1+Kalkulačka!$C$3)</f>
        <v>237345.03891023132</v>
      </c>
      <c r="T10" s="87">
        <f>S10*(1+Kalkulačka!$C$3)</f>
        <v>242091.93968843596</v>
      </c>
      <c r="U10" s="87">
        <f>T10*(1+Kalkulačka!$C$3)</f>
        <v>246933.77848220468</v>
      </c>
      <c r="V10" s="87">
        <f>U10*(1+Kalkulačka!$C$3)</f>
        <v>251872.45405184879</v>
      </c>
    </row>
    <row r="11" spans="1:22" ht="16.5" x14ac:dyDescent="0.3">
      <c r="A11" s="84" t="s">
        <v>48</v>
      </c>
      <c r="B11" s="84"/>
      <c r="C11" s="88">
        <f>-Kalkulačka!C5</f>
        <v>-31756.294085779158</v>
      </c>
      <c r="D11" s="88">
        <f>C11*(1+Kalkulačka!$C$3)</f>
        <v>-32391.419967494741</v>
      </c>
      <c r="E11" s="88">
        <f>D11*(1+Kalkulačka!$C$3)</f>
        <v>-33039.248366844637</v>
      </c>
      <c r="F11" s="88">
        <f>E11*(1+Kalkulačka!$C$3)</f>
        <v>-33700.033334181528</v>
      </c>
      <c r="G11" s="88">
        <f>F11*(1+Kalkulačka!$C$3)</f>
        <v>-34374.034000865162</v>
      </c>
      <c r="H11" s="88">
        <f>G11*(1+Kalkulačka!$C$3)</f>
        <v>-35061.514680882465</v>
      </c>
      <c r="I11" s="88">
        <f>H11*(1+Kalkulačka!$C$3)</f>
        <v>-35762.744974500114</v>
      </c>
      <c r="J11" s="88">
        <f>I11*(1+Kalkulačka!$C$3)</f>
        <v>-36477.99987399012</v>
      </c>
      <c r="K11" s="88">
        <f>J11*(1+Kalkulačka!$C$3)</f>
        <v>-37207.559871469923</v>
      </c>
      <c r="L11" s="88">
        <f>K11*(1+Kalkulačka!$C$3)</f>
        <v>-37951.71106889932</v>
      </c>
      <c r="M11" s="88">
        <f>L11*(1+Kalkulačka!$C$3)</f>
        <v>-38710.745290277308</v>
      </c>
      <c r="N11" s="88">
        <f>M11*(1+Kalkulačka!$C$3)</f>
        <v>-39484.960196082851</v>
      </c>
      <c r="O11" s="88">
        <f>N11*(1+Kalkulačka!$C$3)</f>
        <v>-40274.659400004508</v>
      </c>
      <c r="P11" s="88">
        <f>O11*(1+Kalkulačka!$C$3)</f>
        <v>-41080.152588004596</v>
      </c>
      <c r="Q11" s="88">
        <f>P11*(1+Kalkulačka!$C$3)</f>
        <v>-41901.755639764691</v>
      </c>
      <c r="R11" s="88">
        <f>Q11*(1+Kalkulačka!$C$3)</f>
        <v>-42739.790752559988</v>
      </c>
      <c r="S11" s="88">
        <f>R11*(1+Kalkulačka!$C$3)</f>
        <v>-43594.586567611186</v>
      </c>
      <c r="T11" s="88">
        <f>S11*(1+Kalkulačka!$C$3)</f>
        <v>-44466.478298963411</v>
      </c>
      <c r="U11" s="88">
        <f>T11*(1+Kalkulačka!$C$3)</f>
        <v>-45355.807864942682</v>
      </c>
      <c r="V11" s="88">
        <f>U11*(1+Kalkulačka!$C$3)</f>
        <v>-46262.924022241539</v>
      </c>
    </row>
    <row r="12" spans="1:22" ht="16.5" x14ac:dyDescent="0.3">
      <c r="A12" s="58" t="s">
        <v>171</v>
      </c>
      <c r="B12" s="84"/>
      <c r="C12" s="88">
        <f>-VLOOKUP(Kalkulačka!A1,Predpoklady!A1:K3,11,0)</f>
        <v>-14310</v>
      </c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</row>
    <row r="13" spans="1:22" ht="16.5" x14ac:dyDescent="0.3">
      <c r="A13" s="84"/>
      <c r="B13" s="84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</row>
    <row r="14" spans="1:22" ht="16.5" x14ac:dyDescent="0.3">
      <c r="A14" s="68" t="s">
        <v>40</v>
      </c>
      <c r="B14" s="90"/>
      <c r="C14" s="61">
        <f>C9+C10+C11+C12</f>
        <v>-4350638.2940857792</v>
      </c>
      <c r="D14" s="61">
        <f t="shared" ref="D14:V14" si="1">D9+D10+D11</f>
        <v>-4423054.8599674944</v>
      </c>
      <c r="E14" s="61">
        <f t="shared" si="1"/>
        <v>-4511515.957166845</v>
      </c>
      <c r="F14" s="61">
        <f t="shared" si="1"/>
        <v>-4601746.2763101812</v>
      </c>
      <c r="G14" s="61">
        <f t="shared" si="1"/>
        <v>-4693781.2018363848</v>
      </c>
      <c r="H14" s="61">
        <f t="shared" si="1"/>
        <v>-4787656.8258731132</v>
      </c>
      <c r="I14" s="61">
        <f t="shared" si="1"/>
        <v>-4883409.9623905756</v>
      </c>
      <c r="J14" s="61">
        <f t="shared" si="1"/>
        <v>-4981078.1616383875</v>
      </c>
      <c r="K14" s="61">
        <f t="shared" si="1"/>
        <v>-5080699.7248711549</v>
      </c>
      <c r="L14" s="61">
        <f t="shared" si="1"/>
        <v>-5182313.7193685779</v>
      </c>
      <c r="M14" s="61">
        <f t="shared" si="1"/>
        <v>-5285959.9937559497</v>
      </c>
      <c r="N14" s="61">
        <f t="shared" si="1"/>
        <v>-5391679.1936310679</v>
      </c>
      <c r="O14" s="61">
        <f t="shared" si="1"/>
        <v>-5499512.7775036907</v>
      </c>
      <c r="P14" s="61">
        <f t="shared" si="1"/>
        <v>-5609503.0330537641</v>
      </c>
      <c r="Q14" s="61">
        <f t="shared" si="1"/>
        <v>-5721693.0937148398</v>
      </c>
      <c r="R14" s="61">
        <f t="shared" si="1"/>
        <v>-5836126.955589137</v>
      </c>
      <c r="S14" s="61">
        <f t="shared" si="1"/>
        <v>-5952849.4947009198</v>
      </c>
      <c r="T14" s="61">
        <f t="shared" si="1"/>
        <v>-6071906.4845949383</v>
      </c>
      <c r="U14" s="61">
        <f t="shared" si="1"/>
        <v>-6193344.6142868381</v>
      </c>
      <c r="V14" s="61">
        <f t="shared" si="1"/>
        <v>-6317211.5065725753</v>
      </c>
    </row>
    <row r="15" spans="1:22" ht="16.5" x14ac:dyDescent="0.3">
      <c r="A15" s="84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</row>
    <row r="16" spans="1:22" ht="16.5" x14ac:dyDescent="0.3">
      <c r="A16" s="79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</row>
    <row r="17" spans="1:22" s="102" customFormat="1" ht="16.5" x14ac:dyDescent="0.3">
      <c r="A17" s="6" t="s">
        <v>50</v>
      </c>
      <c r="B17" s="94"/>
      <c r="C17" s="95">
        <v>42736</v>
      </c>
      <c r="D17" s="95">
        <v>43101</v>
      </c>
      <c r="E17" s="95">
        <v>43466</v>
      </c>
      <c r="F17" s="95">
        <v>43831</v>
      </c>
      <c r="G17" s="95">
        <v>44197</v>
      </c>
      <c r="H17" s="95">
        <v>44562</v>
      </c>
      <c r="I17" s="95">
        <v>44927</v>
      </c>
      <c r="J17" s="95">
        <v>45292</v>
      </c>
      <c r="K17" s="95">
        <v>45658</v>
      </c>
      <c r="L17" s="95">
        <v>46023</v>
      </c>
      <c r="M17" s="95">
        <v>46388</v>
      </c>
      <c r="N17" s="95">
        <v>46753</v>
      </c>
      <c r="O17" s="95">
        <v>47119</v>
      </c>
      <c r="P17" s="95">
        <v>47484</v>
      </c>
      <c r="Q17" s="95">
        <v>47849</v>
      </c>
      <c r="R17" s="95">
        <v>48214</v>
      </c>
      <c r="S17" s="95">
        <v>48580</v>
      </c>
      <c r="T17" s="95">
        <v>48945</v>
      </c>
      <c r="U17" s="95">
        <v>49310</v>
      </c>
      <c r="V17" s="95">
        <v>49675</v>
      </c>
    </row>
    <row r="18" spans="1:22" ht="16.5" x14ac:dyDescent="0.3">
      <c r="A18" s="79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</row>
    <row r="19" spans="1:22" ht="16.5" x14ac:dyDescent="0.3">
      <c r="A19" s="58" t="s">
        <v>46</v>
      </c>
      <c r="B19" s="79"/>
      <c r="C19" s="83">
        <f>C9</f>
        <v>-4477465</v>
      </c>
      <c r="D19" s="83">
        <f t="shared" ref="D19:V19" si="2">D9</f>
        <v>-4567014.3</v>
      </c>
      <c r="E19" s="83">
        <f t="shared" si="2"/>
        <v>-4658354.5860000001</v>
      </c>
      <c r="F19" s="83">
        <f t="shared" si="2"/>
        <v>-4751521.67772</v>
      </c>
      <c r="G19" s="83">
        <f t="shared" si="2"/>
        <v>-4846552.1112743998</v>
      </c>
      <c r="H19" s="83">
        <f t="shared" si="2"/>
        <v>-4943483.1534998883</v>
      </c>
      <c r="I19" s="83">
        <f t="shared" si="2"/>
        <v>-5042352.8165698862</v>
      </c>
      <c r="J19" s="83">
        <f t="shared" si="2"/>
        <v>-5143199.8729012841</v>
      </c>
      <c r="K19" s="83">
        <f t="shared" si="2"/>
        <v>-5246063.8703593099</v>
      </c>
      <c r="L19" s="83">
        <f t="shared" si="2"/>
        <v>-5350985.1477664961</v>
      </c>
      <c r="M19" s="83">
        <f t="shared" si="2"/>
        <v>-5458004.8507218258</v>
      </c>
      <c r="N19" s="83">
        <f t="shared" si="2"/>
        <v>-5567164.9477362623</v>
      </c>
      <c r="O19" s="83">
        <f t="shared" si="2"/>
        <v>-5678508.2466909876</v>
      </c>
      <c r="P19" s="83">
        <f t="shared" si="2"/>
        <v>-5792078.4116248079</v>
      </c>
      <c r="Q19" s="83">
        <f t="shared" si="2"/>
        <v>-5907919.9798573041</v>
      </c>
      <c r="R19" s="83">
        <f t="shared" si="2"/>
        <v>-6026078.3794544507</v>
      </c>
      <c r="S19" s="83">
        <f t="shared" si="2"/>
        <v>-6146599.94704354</v>
      </c>
      <c r="T19" s="83">
        <f t="shared" si="2"/>
        <v>-6269531.9459844111</v>
      </c>
      <c r="U19" s="83">
        <f t="shared" si="2"/>
        <v>-6394922.5849040998</v>
      </c>
      <c r="V19" s="83">
        <f t="shared" si="2"/>
        <v>-6522821.0366021823</v>
      </c>
    </row>
    <row r="20" spans="1:22" ht="16.5" x14ac:dyDescent="0.3">
      <c r="A20" s="58" t="s">
        <v>170</v>
      </c>
      <c r="B20" s="79"/>
      <c r="C20" s="83">
        <f>C10</f>
        <v>172893</v>
      </c>
      <c r="D20" s="83">
        <f t="shared" ref="D20:V20" si="3">D10</f>
        <v>176350.86000000002</v>
      </c>
      <c r="E20" s="83">
        <f t="shared" si="3"/>
        <v>179877.87720000002</v>
      </c>
      <c r="F20" s="83">
        <f t="shared" si="3"/>
        <v>183475.43474400003</v>
      </c>
      <c r="G20" s="83">
        <f t="shared" si="3"/>
        <v>187144.94343888003</v>
      </c>
      <c r="H20" s="83">
        <f t="shared" si="3"/>
        <v>190887.84230765764</v>
      </c>
      <c r="I20" s="83">
        <f t="shared" si="3"/>
        <v>194705.59915381079</v>
      </c>
      <c r="J20" s="83">
        <f t="shared" si="3"/>
        <v>198599.71113688702</v>
      </c>
      <c r="K20" s="83">
        <f t="shared" si="3"/>
        <v>202571.70535962476</v>
      </c>
      <c r="L20" s="83">
        <f t="shared" si="3"/>
        <v>206623.13946681726</v>
      </c>
      <c r="M20" s="83">
        <f t="shared" si="3"/>
        <v>210755.60225615359</v>
      </c>
      <c r="N20" s="83">
        <f t="shared" si="3"/>
        <v>214970.71430127666</v>
      </c>
      <c r="O20" s="83">
        <f t="shared" si="3"/>
        <v>219270.1285873022</v>
      </c>
      <c r="P20" s="83">
        <f t="shared" si="3"/>
        <v>223655.53115904826</v>
      </c>
      <c r="Q20" s="83">
        <f t="shared" si="3"/>
        <v>228128.64178222924</v>
      </c>
      <c r="R20" s="83">
        <f t="shared" si="3"/>
        <v>232691.21461787383</v>
      </c>
      <c r="S20" s="83">
        <f t="shared" si="3"/>
        <v>237345.03891023132</v>
      </c>
      <c r="T20" s="83">
        <f t="shared" si="3"/>
        <v>242091.93968843596</v>
      </c>
      <c r="U20" s="83">
        <f t="shared" si="3"/>
        <v>246933.77848220468</v>
      </c>
      <c r="V20" s="83">
        <f t="shared" si="3"/>
        <v>251872.45405184879</v>
      </c>
    </row>
    <row r="21" spans="1:22" ht="16.5" x14ac:dyDescent="0.3">
      <c r="A21" s="58" t="s">
        <v>171</v>
      </c>
      <c r="B21" s="79"/>
      <c r="C21" s="83">
        <f>C12</f>
        <v>-14310</v>
      </c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</row>
    <row r="22" spans="1:22" ht="16.5" x14ac:dyDescent="0.3">
      <c r="A22" s="79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</row>
    <row r="23" spans="1:22" ht="16.5" x14ac:dyDescent="0.3">
      <c r="A23" s="55" t="s">
        <v>37</v>
      </c>
      <c r="B23" s="79"/>
      <c r="C23" s="91">
        <f>OPEX!G37</f>
        <v>1.3923000000000001</v>
      </c>
      <c r="D23" s="91">
        <f>OPEX!H37</f>
        <v>1.4201460000000001</v>
      </c>
      <c r="E23" s="91">
        <f>OPEX!I37</f>
        <v>1.4485489200000001</v>
      </c>
      <c r="F23" s="91">
        <f>OPEX!J37</f>
        <v>1.4775198984000002</v>
      </c>
      <c r="G23" s="91">
        <f>OPEX!K37</f>
        <v>1.5070702963680003</v>
      </c>
      <c r="H23" s="91">
        <f>OPEX!L37</f>
        <v>1.5372117022953604</v>
      </c>
      <c r="I23" s="91">
        <f>OPEX!M37</f>
        <v>1.5679559363412676</v>
      </c>
      <c r="J23" s="91">
        <f>OPEX!N37</f>
        <v>1.599315055068093</v>
      </c>
      <c r="K23" s="91">
        <f>OPEX!O37</f>
        <v>1.6313013561694549</v>
      </c>
      <c r="L23" s="91">
        <f>OPEX!P37</f>
        <v>1.6639273832928441</v>
      </c>
      <c r="M23" s="91">
        <f>OPEX!Q37</f>
        <v>1.6972059309587009</v>
      </c>
      <c r="N23" s="91">
        <f>OPEX!R37</f>
        <v>1.7311500495778749</v>
      </c>
      <c r="O23" s="91">
        <f>OPEX!S37</f>
        <v>1.7657730505694325</v>
      </c>
      <c r="P23" s="91">
        <f>OPEX!T37</f>
        <v>1.8010885115808211</v>
      </c>
      <c r="Q23" s="91">
        <f>OPEX!U37</f>
        <v>1.8371102818124374</v>
      </c>
      <c r="R23" s="91">
        <f>OPEX!V37</f>
        <v>1.8738524874486862</v>
      </c>
      <c r="S23" s="91">
        <f>OPEX!W37</f>
        <v>1.91132953719766</v>
      </c>
      <c r="T23" s="91">
        <f>OPEX!X37</f>
        <v>1.9495561279416131</v>
      </c>
      <c r="U23" s="91">
        <f>OPEX!Y37</f>
        <v>1.9885472505004453</v>
      </c>
      <c r="V23" s="91">
        <f>OPEX!Z37</f>
        <v>2.0283181955104541</v>
      </c>
    </row>
    <row r="24" spans="1:22" ht="16.5" x14ac:dyDescent="0.3">
      <c r="A24" s="55" t="s">
        <v>58</v>
      </c>
      <c r="B24" s="79"/>
      <c r="C24" s="92">
        <f>Kalkulačka!C9</f>
        <v>24209.8</v>
      </c>
      <c r="D24" s="92">
        <f>C24</f>
        <v>24209.8</v>
      </c>
      <c r="E24" s="92">
        <f t="shared" ref="E24:V24" si="4">D24</f>
        <v>24209.8</v>
      </c>
      <c r="F24" s="92">
        <f t="shared" si="4"/>
        <v>24209.8</v>
      </c>
      <c r="G24" s="92">
        <f t="shared" si="4"/>
        <v>24209.8</v>
      </c>
      <c r="H24" s="92">
        <f t="shared" si="4"/>
        <v>24209.8</v>
      </c>
      <c r="I24" s="92">
        <f t="shared" si="4"/>
        <v>24209.8</v>
      </c>
      <c r="J24" s="92">
        <f t="shared" si="4"/>
        <v>24209.8</v>
      </c>
      <c r="K24" s="92">
        <f t="shared" si="4"/>
        <v>24209.8</v>
      </c>
      <c r="L24" s="92">
        <f t="shared" si="4"/>
        <v>24209.8</v>
      </c>
      <c r="M24" s="92">
        <f t="shared" si="4"/>
        <v>24209.8</v>
      </c>
      <c r="N24" s="92">
        <f t="shared" si="4"/>
        <v>24209.8</v>
      </c>
      <c r="O24" s="92">
        <f t="shared" si="4"/>
        <v>24209.8</v>
      </c>
      <c r="P24" s="92">
        <f t="shared" si="4"/>
        <v>24209.8</v>
      </c>
      <c r="Q24" s="92">
        <f t="shared" si="4"/>
        <v>24209.8</v>
      </c>
      <c r="R24" s="92">
        <f t="shared" si="4"/>
        <v>24209.8</v>
      </c>
      <c r="S24" s="92">
        <f>R24</f>
        <v>24209.8</v>
      </c>
      <c r="T24" s="92">
        <f t="shared" si="4"/>
        <v>24209.8</v>
      </c>
      <c r="U24" s="92">
        <f t="shared" si="4"/>
        <v>24209.8</v>
      </c>
      <c r="V24" s="92">
        <f t="shared" si="4"/>
        <v>24209.8</v>
      </c>
    </row>
    <row r="25" spans="1:22" ht="16.5" x14ac:dyDescent="0.3">
      <c r="A25" s="84" t="s">
        <v>41</v>
      </c>
      <c r="B25" s="84"/>
      <c r="C25" s="93">
        <f t="shared" ref="C25:V25" si="5">-C23*C24</f>
        <v>-33707.304540000005</v>
      </c>
      <c r="D25" s="93">
        <f t="shared" si="5"/>
        <v>-34381.450630800005</v>
      </c>
      <c r="E25" s="93">
        <f t="shared" si="5"/>
        <v>-35069.079643416</v>
      </c>
      <c r="F25" s="93">
        <f t="shared" si="5"/>
        <v>-35770.461236284325</v>
      </c>
      <c r="G25" s="93">
        <f t="shared" si="5"/>
        <v>-36485.87046101001</v>
      </c>
      <c r="H25" s="93">
        <f t="shared" si="5"/>
        <v>-37215.587870230214</v>
      </c>
      <c r="I25" s="93">
        <f t="shared" si="5"/>
        <v>-37959.899627634819</v>
      </c>
      <c r="J25" s="93">
        <f t="shared" si="5"/>
        <v>-38719.097620187516</v>
      </c>
      <c r="K25" s="93">
        <f t="shared" si="5"/>
        <v>-39493.47957259127</v>
      </c>
      <c r="L25" s="93">
        <f t="shared" si="5"/>
        <v>-40283.349164043095</v>
      </c>
      <c r="M25" s="93">
        <f t="shared" si="5"/>
        <v>-41089.016147323957</v>
      </c>
      <c r="N25" s="93">
        <f t="shared" si="5"/>
        <v>-41910.796470270434</v>
      </c>
      <c r="O25" s="93">
        <f t="shared" si="5"/>
        <v>-42749.012399675841</v>
      </c>
      <c r="P25" s="93">
        <f t="shared" si="5"/>
        <v>-43603.992647669358</v>
      </c>
      <c r="Q25" s="93">
        <f t="shared" si="5"/>
        <v>-44476.072500622744</v>
      </c>
      <c r="R25" s="93">
        <f t="shared" si="5"/>
        <v>-45365.593950635201</v>
      </c>
      <c r="S25" s="93">
        <f t="shared" si="5"/>
        <v>-46272.905829647905</v>
      </c>
      <c r="T25" s="93">
        <f t="shared" si="5"/>
        <v>-47198.363946240861</v>
      </c>
      <c r="U25" s="93">
        <f t="shared" si="5"/>
        <v>-48142.331225165683</v>
      </c>
      <c r="V25" s="93">
        <f t="shared" si="5"/>
        <v>-49105.177849668988</v>
      </c>
    </row>
    <row r="26" spans="1:22" ht="16.5" x14ac:dyDescent="0.3">
      <c r="A26" s="84"/>
      <c r="B26" s="84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</row>
    <row r="27" spans="1:22" ht="16.5" x14ac:dyDescent="0.3">
      <c r="A27" s="68" t="s">
        <v>40</v>
      </c>
      <c r="B27" s="81"/>
      <c r="C27" s="82">
        <f>C19+C20+C25+C21</f>
        <v>-4352589.3045399999</v>
      </c>
      <c r="D27" s="82">
        <f t="shared" ref="D27:V27" si="6">D19+D20+D25</f>
        <v>-4425044.8906307993</v>
      </c>
      <c r="E27" s="82">
        <f t="shared" si="6"/>
        <v>-4513545.7884434164</v>
      </c>
      <c r="F27" s="82">
        <f t="shared" si="6"/>
        <v>-4603816.7042122837</v>
      </c>
      <c r="G27" s="82">
        <f t="shared" si="6"/>
        <v>-4695893.03829653</v>
      </c>
      <c r="H27" s="82">
        <f t="shared" si="6"/>
        <v>-4789810.8990624603</v>
      </c>
      <c r="I27" s="82">
        <f t="shared" si="6"/>
        <v>-4885607.1170437103</v>
      </c>
      <c r="J27" s="82">
        <f t="shared" si="6"/>
        <v>-4983319.2593845846</v>
      </c>
      <c r="K27" s="82">
        <f t="shared" si="6"/>
        <v>-5082985.6445722766</v>
      </c>
      <c r="L27" s="82">
        <f t="shared" si="6"/>
        <v>-5184645.3574637221</v>
      </c>
      <c r="M27" s="82">
        <f t="shared" si="6"/>
        <v>-5288338.264612996</v>
      </c>
      <c r="N27" s="82">
        <f t="shared" si="6"/>
        <v>-5394105.0299052559</v>
      </c>
      <c r="O27" s="82">
        <f t="shared" si="6"/>
        <v>-5501987.130503362</v>
      </c>
      <c r="P27" s="82">
        <f t="shared" si="6"/>
        <v>-5612026.8731134292</v>
      </c>
      <c r="Q27" s="82">
        <f t="shared" si="6"/>
        <v>-5724267.4105756981</v>
      </c>
      <c r="R27" s="82">
        <f t="shared" si="6"/>
        <v>-5838752.758787212</v>
      </c>
      <c r="S27" s="82">
        <f t="shared" si="6"/>
        <v>-5955527.813962956</v>
      </c>
      <c r="T27" s="82">
        <f t="shared" si="6"/>
        <v>-6074638.3702422157</v>
      </c>
      <c r="U27" s="82">
        <f t="shared" si="6"/>
        <v>-6196131.1376470616</v>
      </c>
      <c r="V27" s="82">
        <f t="shared" si="6"/>
        <v>-6320053.7604000028</v>
      </c>
    </row>
    <row r="28" spans="1:22" ht="16.5" x14ac:dyDescent="0.3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</row>
    <row r="29" spans="1:22" ht="16.5" hidden="1" x14ac:dyDescent="0.3">
      <c r="A29" s="5"/>
      <c r="B29" s="5"/>
      <c r="C29" s="8" t="e">
        <f>DATE(C30,1,1)</f>
        <v>#NUM!</v>
      </c>
      <c r="D29" s="8" t="e">
        <f t="shared" ref="D29:V29" si="7">DATE(D30,1,1)</f>
        <v>#NUM!</v>
      </c>
      <c r="E29" s="8" t="e">
        <f t="shared" si="7"/>
        <v>#NUM!</v>
      </c>
      <c r="F29" s="8" t="e">
        <f t="shared" si="7"/>
        <v>#NUM!</v>
      </c>
      <c r="G29" s="8" t="e">
        <f t="shared" si="7"/>
        <v>#NUM!</v>
      </c>
      <c r="H29" s="8" t="e">
        <f t="shared" si="7"/>
        <v>#NUM!</v>
      </c>
      <c r="I29" s="8" t="e">
        <f t="shared" si="7"/>
        <v>#NUM!</v>
      </c>
      <c r="J29" s="8" t="e">
        <f t="shared" si="7"/>
        <v>#NUM!</v>
      </c>
      <c r="K29" s="8" t="e">
        <f t="shared" si="7"/>
        <v>#NUM!</v>
      </c>
      <c r="L29" s="8" t="e">
        <f t="shared" si="7"/>
        <v>#NUM!</v>
      </c>
      <c r="M29" s="8" t="e">
        <f t="shared" si="7"/>
        <v>#NUM!</v>
      </c>
      <c r="N29" s="8" t="e">
        <f t="shared" si="7"/>
        <v>#NUM!</v>
      </c>
      <c r="O29" s="8" t="e">
        <f t="shared" si="7"/>
        <v>#NUM!</v>
      </c>
      <c r="P29" s="8" t="e">
        <f t="shared" si="7"/>
        <v>#NUM!</v>
      </c>
      <c r="Q29" s="8" t="e">
        <f t="shared" si="7"/>
        <v>#NUM!</v>
      </c>
      <c r="R29" s="8" t="e">
        <f t="shared" si="7"/>
        <v>#NUM!</v>
      </c>
      <c r="S29" s="8" t="e">
        <f t="shared" si="7"/>
        <v>#NUM!</v>
      </c>
      <c r="T29" s="8" t="e">
        <f t="shared" si="7"/>
        <v>#NUM!</v>
      </c>
      <c r="U29" s="8" t="e">
        <f t="shared" si="7"/>
        <v>#NUM!</v>
      </c>
      <c r="V29" s="8" t="e">
        <f t="shared" si="7"/>
        <v>#NUM!</v>
      </c>
    </row>
    <row r="30" spans="1:22" s="102" customFormat="1" ht="16.5" x14ac:dyDescent="0.3">
      <c r="A30" s="6" t="s">
        <v>51</v>
      </c>
      <c r="B30" s="94"/>
      <c r="C30" s="95">
        <v>42736</v>
      </c>
      <c r="D30" s="95">
        <v>43101</v>
      </c>
      <c r="E30" s="95">
        <v>43466</v>
      </c>
      <c r="F30" s="95">
        <v>43831</v>
      </c>
      <c r="G30" s="95">
        <v>44197</v>
      </c>
      <c r="H30" s="95">
        <v>44562</v>
      </c>
      <c r="I30" s="95">
        <v>44927</v>
      </c>
      <c r="J30" s="95">
        <v>45292</v>
      </c>
      <c r="K30" s="95">
        <v>45658</v>
      </c>
      <c r="L30" s="95">
        <v>46023</v>
      </c>
      <c r="M30" s="95">
        <v>46388</v>
      </c>
      <c r="N30" s="95">
        <v>46753</v>
      </c>
      <c r="O30" s="95">
        <v>47119</v>
      </c>
      <c r="P30" s="95">
        <v>47484</v>
      </c>
      <c r="Q30" s="95">
        <v>47849</v>
      </c>
      <c r="R30" s="95">
        <v>48214</v>
      </c>
      <c r="S30" s="95">
        <v>48580</v>
      </c>
      <c r="T30" s="95">
        <v>48945</v>
      </c>
      <c r="U30" s="95">
        <v>49310</v>
      </c>
      <c r="V30" s="95">
        <v>49675</v>
      </c>
    </row>
    <row r="31" spans="1:22" ht="16.5" x14ac:dyDescent="0.3">
      <c r="A31" s="79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</row>
    <row r="32" spans="1:22" ht="16.5" x14ac:dyDescent="0.3">
      <c r="A32" s="58" t="s">
        <v>46</v>
      </c>
      <c r="B32" s="79"/>
      <c r="C32" s="83">
        <f>C19</f>
        <v>-4477465</v>
      </c>
      <c r="D32" s="83">
        <f t="shared" ref="D32:V33" si="8">D19</f>
        <v>-4567014.3</v>
      </c>
      <c r="E32" s="83">
        <f t="shared" si="8"/>
        <v>-4658354.5860000001</v>
      </c>
      <c r="F32" s="83">
        <f t="shared" si="8"/>
        <v>-4751521.67772</v>
      </c>
      <c r="G32" s="83">
        <f t="shared" si="8"/>
        <v>-4846552.1112743998</v>
      </c>
      <c r="H32" s="83">
        <f t="shared" si="8"/>
        <v>-4943483.1534998883</v>
      </c>
      <c r="I32" s="83">
        <f t="shared" si="8"/>
        <v>-5042352.8165698862</v>
      </c>
      <c r="J32" s="83">
        <f t="shared" si="8"/>
        <v>-5143199.8729012841</v>
      </c>
      <c r="K32" s="83">
        <f t="shared" si="8"/>
        <v>-5246063.8703593099</v>
      </c>
      <c r="L32" s="83">
        <f t="shared" si="8"/>
        <v>-5350985.1477664961</v>
      </c>
      <c r="M32" s="83">
        <f t="shared" si="8"/>
        <v>-5458004.8507218258</v>
      </c>
      <c r="N32" s="83">
        <f t="shared" si="8"/>
        <v>-5567164.9477362623</v>
      </c>
      <c r="O32" s="83">
        <f t="shared" si="8"/>
        <v>-5678508.2466909876</v>
      </c>
      <c r="P32" s="83">
        <f t="shared" si="8"/>
        <v>-5792078.4116248079</v>
      </c>
      <c r="Q32" s="83">
        <f t="shared" si="8"/>
        <v>-5907919.9798573041</v>
      </c>
      <c r="R32" s="83">
        <f t="shared" si="8"/>
        <v>-6026078.3794544507</v>
      </c>
      <c r="S32" s="83">
        <f t="shared" si="8"/>
        <v>-6146599.94704354</v>
      </c>
      <c r="T32" s="83">
        <f t="shared" si="8"/>
        <v>-6269531.9459844111</v>
      </c>
      <c r="U32" s="83">
        <f t="shared" si="8"/>
        <v>-6394922.5849040998</v>
      </c>
      <c r="V32" s="83">
        <f t="shared" si="8"/>
        <v>-6522821.0366021823</v>
      </c>
    </row>
    <row r="33" spans="1:22" ht="16.5" x14ac:dyDescent="0.3">
      <c r="A33" s="58" t="s">
        <v>170</v>
      </c>
      <c r="B33" s="79"/>
      <c r="C33" s="83">
        <f t="shared" ref="C33:R34" si="9">C20</f>
        <v>172893</v>
      </c>
      <c r="D33" s="83">
        <f t="shared" si="9"/>
        <v>176350.86000000002</v>
      </c>
      <c r="E33" s="83">
        <f t="shared" si="9"/>
        <v>179877.87720000002</v>
      </c>
      <c r="F33" s="83">
        <f t="shared" si="9"/>
        <v>183475.43474400003</v>
      </c>
      <c r="G33" s="83">
        <f t="shared" si="9"/>
        <v>187144.94343888003</v>
      </c>
      <c r="H33" s="83">
        <f t="shared" si="9"/>
        <v>190887.84230765764</v>
      </c>
      <c r="I33" s="83">
        <f t="shared" si="9"/>
        <v>194705.59915381079</v>
      </c>
      <c r="J33" s="83">
        <f t="shared" si="9"/>
        <v>198599.71113688702</v>
      </c>
      <c r="K33" s="83">
        <f t="shared" si="9"/>
        <v>202571.70535962476</v>
      </c>
      <c r="L33" s="83">
        <f t="shared" si="9"/>
        <v>206623.13946681726</v>
      </c>
      <c r="M33" s="83">
        <f t="shared" si="9"/>
        <v>210755.60225615359</v>
      </c>
      <c r="N33" s="83">
        <f t="shared" si="9"/>
        <v>214970.71430127666</v>
      </c>
      <c r="O33" s="83">
        <f t="shared" si="9"/>
        <v>219270.1285873022</v>
      </c>
      <c r="P33" s="83">
        <f t="shared" si="9"/>
        <v>223655.53115904826</v>
      </c>
      <c r="Q33" s="83">
        <f t="shared" si="9"/>
        <v>228128.64178222924</v>
      </c>
      <c r="R33" s="83">
        <f t="shared" si="9"/>
        <v>232691.21461787383</v>
      </c>
      <c r="S33" s="83">
        <f t="shared" si="8"/>
        <v>237345.03891023132</v>
      </c>
      <c r="T33" s="83">
        <f t="shared" si="8"/>
        <v>242091.93968843596</v>
      </c>
      <c r="U33" s="83">
        <f t="shared" si="8"/>
        <v>246933.77848220468</v>
      </c>
      <c r="V33" s="83">
        <f t="shared" si="8"/>
        <v>251872.45405184879</v>
      </c>
    </row>
    <row r="34" spans="1:22" ht="16.5" x14ac:dyDescent="0.3">
      <c r="A34" s="58" t="s">
        <v>171</v>
      </c>
      <c r="B34" s="79"/>
      <c r="C34" s="83">
        <f t="shared" si="9"/>
        <v>-14310</v>
      </c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</row>
    <row r="35" spans="1:22" ht="16.5" x14ac:dyDescent="0.3">
      <c r="A35" s="7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</row>
    <row r="36" spans="1:22" ht="16.5" x14ac:dyDescent="0.3">
      <c r="A36" s="79" t="s">
        <v>56</v>
      </c>
      <c r="B36" s="79"/>
      <c r="C36" s="83">
        <f>-Kalkulačka!C11</f>
        <v>-393000</v>
      </c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</row>
    <row r="37" spans="1:22" ht="16.5" x14ac:dyDescent="0.3">
      <c r="A37" s="79"/>
      <c r="B37" s="79"/>
      <c r="C37" s="83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</row>
    <row r="38" spans="1:22" ht="16.5" x14ac:dyDescent="0.3">
      <c r="A38" s="79" t="s">
        <v>52</v>
      </c>
      <c r="B38" s="79"/>
      <c r="C38" s="83">
        <f>C41+C46+C47+C48</f>
        <v>-72669.516677862412</v>
      </c>
      <c r="D38" s="83">
        <f t="shared" ref="D38:V38" si="10">D41+D46+D47+D48</f>
        <v>-75074.797371285298</v>
      </c>
      <c r="E38" s="83">
        <f t="shared" si="10"/>
        <v>-88817.552500655584</v>
      </c>
      <c r="F38" s="83">
        <f t="shared" si="10"/>
        <v>-96184.808449076838</v>
      </c>
      <c r="G38" s="83">
        <f t="shared" si="10"/>
        <v>-100741.34022822208</v>
      </c>
      <c r="H38" s="83">
        <f t="shared" si="10"/>
        <v>-106006.87741610262</v>
      </c>
      <c r="I38" s="83">
        <f t="shared" si="10"/>
        <v>-113320.11033220918</v>
      </c>
      <c r="J38" s="83">
        <f t="shared" si="10"/>
        <v>-127664.59645951811</v>
      </c>
      <c r="K38" s="83">
        <f t="shared" si="10"/>
        <v>-152043.06712323404</v>
      </c>
      <c r="L38" s="83">
        <f t="shared" si="10"/>
        <v>-155913.33443653578</v>
      </c>
      <c r="M38" s="83">
        <f t="shared" si="10"/>
        <v>-159976.29852400301</v>
      </c>
      <c r="N38" s="83">
        <f t="shared" si="10"/>
        <v>-164108.05503382749</v>
      </c>
      <c r="O38" s="83">
        <f t="shared" si="10"/>
        <v>-168442.90295035794</v>
      </c>
      <c r="P38" s="83">
        <f t="shared" si="10"/>
        <v>-172921.85271898843</v>
      </c>
      <c r="Q38" s="83">
        <f t="shared" si="10"/>
        <v>-177550.6346958807</v>
      </c>
      <c r="R38" s="83">
        <f t="shared" si="10"/>
        <v>-182350.4079355117</v>
      </c>
      <c r="S38" s="83">
        <f t="shared" si="10"/>
        <v>-187296.96932955456</v>
      </c>
      <c r="T38" s="83">
        <f t="shared" si="10"/>
        <v>-192420.86311114463</v>
      </c>
      <c r="U38" s="83">
        <f t="shared" si="10"/>
        <v>-197717.29073914158</v>
      </c>
      <c r="V38" s="83">
        <f t="shared" si="10"/>
        <v>-203198.42117758427</v>
      </c>
    </row>
    <row r="39" spans="1:22" ht="16.5" hidden="1" x14ac:dyDescent="0.3">
      <c r="A39" s="79" t="s">
        <v>57</v>
      </c>
      <c r="B39" s="79"/>
      <c r="C39" s="83">
        <f>$C$36*0.25</f>
        <v>-98250</v>
      </c>
      <c r="D39" s="83">
        <f>$C$36*0.25</f>
        <v>-98250</v>
      </c>
      <c r="E39" s="83">
        <f>$C$36*0.25</f>
        <v>-98250</v>
      </c>
      <c r="F39" s="83">
        <f>$C$36*0.25</f>
        <v>-98250</v>
      </c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</row>
    <row r="40" spans="1:22" ht="16.5" x14ac:dyDescent="0.3">
      <c r="A40" s="79"/>
      <c r="B40" s="79"/>
      <c r="C40" s="96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</row>
    <row r="41" spans="1:22" ht="16.5" x14ac:dyDescent="0.3">
      <c r="A41" s="97" t="s">
        <v>149</v>
      </c>
      <c r="B41" s="79"/>
      <c r="C41" s="83">
        <f t="shared" ref="C41:V41" si="11">-SUM(C42:C44)</f>
        <v>-6781.9</v>
      </c>
      <c r="D41" s="83">
        <f t="shared" si="11"/>
        <v>-6781.9</v>
      </c>
      <c r="E41" s="83">
        <f t="shared" si="11"/>
        <v>-18025.5</v>
      </c>
      <c r="F41" s="83">
        <f t="shared" si="11"/>
        <v>-22796</v>
      </c>
      <c r="G41" s="83">
        <f t="shared" si="11"/>
        <v>-24654.3</v>
      </c>
      <c r="H41" s="83">
        <f t="shared" si="11"/>
        <v>-27116.1</v>
      </c>
      <c r="I41" s="83">
        <f t="shared" si="11"/>
        <v>-31515.9</v>
      </c>
      <c r="J41" s="83">
        <f t="shared" si="11"/>
        <v>-42832.9</v>
      </c>
      <c r="K41" s="83">
        <f t="shared" si="11"/>
        <v>-64065.299999999988</v>
      </c>
      <c r="L41" s="83">
        <f t="shared" si="11"/>
        <v>-64666.2</v>
      </c>
      <c r="M41" s="83">
        <f t="shared" si="11"/>
        <v>-65331.6</v>
      </c>
      <c r="N41" s="83">
        <f t="shared" si="11"/>
        <v>-65932.5</v>
      </c>
      <c r="O41" s="83">
        <f t="shared" si="11"/>
        <v>-66597.899999999994</v>
      </c>
      <c r="P41" s="83">
        <f t="shared" si="11"/>
        <v>-67263.3</v>
      </c>
      <c r="Q41" s="83">
        <f t="shared" si="11"/>
        <v>-67928.7</v>
      </c>
      <c r="R41" s="83">
        <f t="shared" si="11"/>
        <v>-68609.3</v>
      </c>
      <c r="S41" s="83">
        <f t="shared" si="11"/>
        <v>-69274.7</v>
      </c>
      <c r="T41" s="83">
        <f t="shared" si="11"/>
        <v>-69949</v>
      </c>
      <c r="U41" s="83">
        <f t="shared" si="11"/>
        <v>-70620.7</v>
      </c>
      <c r="V41" s="83">
        <f t="shared" si="11"/>
        <v>-71295</v>
      </c>
    </row>
    <row r="42" spans="1:22" ht="16.5" x14ac:dyDescent="0.3">
      <c r="A42" s="98" t="s">
        <v>137</v>
      </c>
      <c r="B42" s="79"/>
      <c r="C42" s="83">
        <f>IF(Kalkulačka!$A$1="Senica",OPEX!G25,OPEX!G30)*Kalkulačka!$C$16</f>
        <v>333.9</v>
      </c>
      <c r="D42" s="83">
        <f>IF(Kalkulačka!$A$1="Senica",OPEX!H25,OPEX!H30)*Kalkulačka!$C$16</f>
        <v>333.9</v>
      </c>
      <c r="E42" s="83">
        <f>IF(Kalkulačka!$A$1="Senica",OPEX!I25,OPEX!I30)*Kalkulačka!$C$16</f>
        <v>894.6</v>
      </c>
      <c r="F42" s="83">
        <f>IF(Kalkulačka!$A$1="Senica",OPEX!J25,OPEX!J30)*Kalkulačka!$C$16</f>
        <v>1127.7</v>
      </c>
      <c r="G42" s="83">
        <f>IF(Kalkulačka!$A$1="Senica",OPEX!K25,OPEX!K30)*Kalkulačka!$C$16</f>
        <v>1222.2</v>
      </c>
      <c r="H42" s="83">
        <f>IF(Kalkulačka!$A$1="Senica",OPEX!L25,OPEX!L30)*Kalkulačka!$C$16</f>
        <v>1341.8999999999999</v>
      </c>
      <c r="I42" s="83">
        <f>IF(Kalkulačka!$A$1="Senica",OPEX!M25,OPEX!M30)*Kalkulačka!$C$16</f>
        <v>1562.3999999999999</v>
      </c>
      <c r="J42" s="83">
        <f>IF(Kalkulačka!$A$1="Senica",OPEX!N25,OPEX!N30)*Kalkulačka!$C$16</f>
        <v>2123.1</v>
      </c>
      <c r="K42" s="83">
        <f>IF(Kalkulačka!$A$1="Senica",OPEX!O25,OPEX!O30)*Kalkulačka!$C$16</f>
        <v>3175.2</v>
      </c>
      <c r="L42" s="83">
        <f>IF(Kalkulačka!$A$1="Senica",OPEX!P25,OPEX!P30)*Kalkulačka!$C$16</f>
        <v>3206.7000000000003</v>
      </c>
      <c r="M42" s="83">
        <f>IF(Kalkulačka!$A$1="Senica",OPEX!Q25,OPEX!Q30)*Kalkulačka!$C$16</f>
        <v>3238.2000000000003</v>
      </c>
      <c r="N42" s="83">
        <f>IF(Kalkulačka!$A$1="Senica",OPEX!R25,OPEX!R30)*Kalkulačka!$C$16</f>
        <v>3269.7000000000003</v>
      </c>
      <c r="O42" s="83">
        <f>IF(Kalkulačka!$A$1="Senica",OPEX!S25,OPEX!S30)*Kalkulačka!$C$16</f>
        <v>3301.2000000000003</v>
      </c>
      <c r="P42" s="83">
        <f>IF(Kalkulačka!$A$1="Senica",OPEX!T25,OPEX!T30)*Kalkulačka!$C$16</f>
        <v>3332.7000000000003</v>
      </c>
      <c r="Q42" s="83">
        <f>IF(Kalkulačka!$A$1="Senica",OPEX!U25,OPEX!U30)*Kalkulačka!$C$16</f>
        <v>3364.2000000000003</v>
      </c>
      <c r="R42" s="83">
        <f>IF(Kalkulačka!$A$1="Senica",OPEX!V25,OPEX!V30)*Kalkulačka!$C$16</f>
        <v>3402</v>
      </c>
      <c r="S42" s="83">
        <f>IF(Kalkulačka!$A$1="Senica",OPEX!W25,OPEX!W30)*Kalkulačka!$C$16</f>
        <v>3433.5</v>
      </c>
      <c r="T42" s="83">
        <f>IF(Kalkulačka!$A$1="Senica",OPEX!X25,OPEX!X30)*Kalkulačka!$C$16</f>
        <v>3465</v>
      </c>
      <c r="U42" s="83">
        <f>IF(Kalkulačka!$A$1="Senica",OPEX!Y25,OPEX!Y30)*Kalkulačka!$C$16</f>
        <v>3502.7999999999997</v>
      </c>
      <c r="V42" s="83">
        <f>IF(Kalkulačka!$A$1="Senica",OPEX!Z25,OPEX!Z30)*Kalkulačka!$C$16</f>
        <v>3534.2999999999997</v>
      </c>
    </row>
    <row r="43" spans="1:22" ht="16.5" x14ac:dyDescent="0.3">
      <c r="A43" s="98" t="s">
        <v>138</v>
      </c>
      <c r="B43" s="79"/>
      <c r="C43" s="83">
        <f>IF(Kalkulačka!$A$1="Senica",OPEX!G26,OPEX!G31)*Kalkulačka!$C$16</f>
        <v>578.5</v>
      </c>
      <c r="D43" s="83">
        <f>IF(Kalkulačka!$A$1="Senica",OPEX!H26,OPEX!H31)*Kalkulačka!$C$16</f>
        <v>578.5</v>
      </c>
      <c r="E43" s="83">
        <f>IF(Kalkulačka!$A$1="Senica",OPEX!I26,OPEX!I31)*Kalkulačka!$C$16</f>
        <v>1521.9</v>
      </c>
      <c r="F43" s="83">
        <f>IF(Kalkulačka!$A$1="Senica",OPEX!J26,OPEX!J31)*Kalkulačka!$C$16</f>
        <v>1931.3</v>
      </c>
      <c r="G43" s="83">
        <f>IF(Kalkulačka!$A$1="Senica",OPEX!K26,OPEX!K31)*Kalkulačka!$C$16</f>
        <v>2082.6</v>
      </c>
      <c r="H43" s="83">
        <f>IF(Kalkulačka!$A$1="Senica",OPEX!L26,OPEX!L31)*Kalkulačka!$C$16</f>
        <v>2296.1999999999998</v>
      </c>
      <c r="I43" s="83">
        <f>IF(Kalkulačka!$A$1="Senica",OPEX!M26,OPEX!M31)*Kalkulačka!$C$16</f>
        <v>2670</v>
      </c>
      <c r="J43" s="83">
        <f>IF(Kalkulačka!$A$1="Senica",OPEX!N26,OPEX!N31)*Kalkulačka!$C$16</f>
        <v>3622.3</v>
      </c>
      <c r="K43" s="83">
        <f>IF(Kalkulačka!$A$1="Senica",OPEX!O26,OPEX!O31)*Kalkulačka!$C$16</f>
        <v>5420.1</v>
      </c>
      <c r="L43" s="83">
        <f>IF(Kalkulačka!$A$1="Senica",OPEX!P26,OPEX!P31)*Kalkulačka!$C$16</f>
        <v>5473.5</v>
      </c>
      <c r="M43" s="83">
        <f>IF(Kalkulačka!$A$1="Senica",OPEX!Q26,OPEX!Q31)*Kalkulačka!$C$16</f>
        <v>5526.9000000000005</v>
      </c>
      <c r="N43" s="83">
        <f>IF(Kalkulačka!$A$1="Senica",OPEX!R26,OPEX!R31)*Kalkulačka!$C$16</f>
        <v>5580.3</v>
      </c>
      <c r="O43" s="83">
        <f>IF(Kalkulačka!$A$1="Senica",OPEX!S26,OPEX!S31)*Kalkulačka!$C$16</f>
        <v>5633.7</v>
      </c>
      <c r="P43" s="83">
        <f>IF(Kalkulačka!$A$1="Senica",OPEX!T26,OPEX!T31)*Kalkulačka!$C$16</f>
        <v>5687.0999999999995</v>
      </c>
      <c r="Q43" s="83">
        <f>IF(Kalkulačka!$A$1="Senica",OPEX!U26,OPEX!U31)*Kalkulačka!$C$16</f>
        <v>5740.5</v>
      </c>
      <c r="R43" s="83">
        <f>IF(Kalkulačka!$A$1="Senica",OPEX!V26,OPEX!V31)*Kalkulačka!$C$16</f>
        <v>5802.7999999999993</v>
      </c>
      <c r="S43" s="83">
        <f>IF(Kalkulačka!$A$1="Senica",OPEX!W26,OPEX!W31)*Kalkulačka!$C$16</f>
        <v>5856.2</v>
      </c>
      <c r="T43" s="83">
        <f>IF(Kalkulačka!$A$1="Senica",OPEX!X26,OPEX!X31)*Kalkulačka!$C$16</f>
        <v>5918.5</v>
      </c>
      <c r="U43" s="83">
        <f>IF(Kalkulačka!$A$1="Senica",OPEX!Y26,OPEX!Y31)*Kalkulačka!$C$16</f>
        <v>5971.9000000000005</v>
      </c>
      <c r="V43" s="83">
        <f>IF(Kalkulačka!$A$1="Senica",OPEX!Z26,OPEX!Z31)*Kalkulačka!$C$16</f>
        <v>6034.2</v>
      </c>
    </row>
    <row r="44" spans="1:22" ht="16.5" x14ac:dyDescent="0.3">
      <c r="A44" s="98" t="s">
        <v>139</v>
      </c>
      <c r="B44" s="79"/>
      <c r="C44" s="83">
        <f>IF(Kalkulačka!$A$1="Senica",OPEX!G27,OPEX!G32)*Kalkulačka!$C$16</f>
        <v>5869.5</v>
      </c>
      <c r="D44" s="83">
        <f>IF(Kalkulačka!$A$1="Senica",OPEX!H27,OPEX!H32)*Kalkulačka!$C$16</f>
        <v>5869.5</v>
      </c>
      <c r="E44" s="83">
        <f>IF(Kalkulačka!$A$1="Senica",OPEX!I27,OPEX!I32)*Kalkulačka!$C$16</f>
        <v>15609</v>
      </c>
      <c r="F44" s="83">
        <f>IF(Kalkulačka!$A$1="Senica",OPEX!J27,OPEX!J32)*Kalkulačka!$C$16</f>
        <v>19737</v>
      </c>
      <c r="G44" s="83">
        <f>IF(Kalkulačka!$A$1="Senica",OPEX!K27,OPEX!K32)*Kalkulačka!$C$16</f>
        <v>21349.5</v>
      </c>
      <c r="H44" s="83">
        <f>IF(Kalkulačka!$A$1="Senica",OPEX!L27,OPEX!L32)*Kalkulačka!$C$16</f>
        <v>23478</v>
      </c>
      <c r="I44" s="83">
        <f>IF(Kalkulačka!$A$1="Senica",OPEX!M27,OPEX!M32)*Kalkulačka!$C$16</f>
        <v>27283.5</v>
      </c>
      <c r="J44" s="83">
        <f>IF(Kalkulačka!$A$1="Senica",OPEX!N27,OPEX!N32)*Kalkulačka!$C$16</f>
        <v>37087.5</v>
      </c>
      <c r="K44" s="83">
        <f>IF(Kalkulačka!$A$1="Senica",OPEX!O27,OPEX!O32)*Kalkulačka!$C$16</f>
        <v>55469.999999999993</v>
      </c>
      <c r="L44" s="83">
        <f>IF(Kalkulačka!$A$1="Senica",OPEX!P27,OPEX!P32)*Kalkulačka!$C$16</f>
        <v>55986</v>
      </c>
      <c r="M44" s="83">
        <f>IF(Kalkulačka!$A$1="Senica",OPEX!Q27,OPEX!Q32)*Kalkulačka!$C$16</f>
        <v>56566.5</v>
      </c>
      <c r="N44" s="83">
        <f>IF(Kalkulačka!$A$1="Senica",OPEX!R27,OPEX!R32)*Kalkulačka!$C$16</f>
        <v>57082.5</v>
      </c>
      <c r="O44" s="83">
        <f>IF(Kalkulačka!$A$1="Senica",OPEX!S27,OPEX!S32)*Kalkulačka!$C$16</f>
        <v>57662.999999999993</v>
      </c>
      <c r="P44" s="83">
        <f>IF(Kalkulačka!$A$1="Senica",OPEX!T27,OPEX!T32)*Kalkulačka!$C$16</f>
        <v>58243.5</v>
      </c>
      <c r="Q44" s="83">
        <f>IF(Kalkulačka!$A$1="Senica",OPEX!U27,OPEX!U32)*Kalkulačka!$C$16</f>
        <v>58824</v>
      </c>
      <c r="R44" s="83">
        <f>IF(Kalkulačka!$A$1="Senica",OPEX!V27,OPEX!V32)*Kalkulačka!$C$16</f>
        <v>59404.5</v>
      </c>
      <c r="S44" s="83">
        <f>IF(Kalkulačka!$A$1="Senica",OPEX!W27,OPEX!W32)*Kalkulačka!$C$16</f>
        <v>59985</v>
      </c>
      <c r="T44" s="83">
        <f>IF(Kalkulačka!$A$1="Senica",OPEX!X27,OPEX!X32)*Kalkulačka!$C$16</f>
        <v>60565.5</v>
      </c>
      <c r="U44" s="83">
        <f>IF(Kalkulačka!$A$1="Senica",OPEX!Y27,OPEX!Y32)*Kalkulačka!$C$16</f>
        <v>61146</v>
      </c>
      <c r="V44" s="83">
        <f>IF(Kalkulačka!$A$1="Senica",OPEX!Z27,OPEX!Z32)*Kalkulačka!$C$16</f>
        <v>61726.499999999993</v>
      </c>
    </row>
    <row r="45" spans="1:22" ht="16.5" x14ac:dyDescent="0.3">
      <c r="A45" s="98"/>
      <c r="B45" s="79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</row>
    <row r="46" spans="1:22" ht="16.5" x14ac:dyDescent="0.3">
      <c r="A46" s="99" t="s">
        <v>75</v>
      </c>
      <c r="B46" s="79"/>
      <c r="C46" s="83">
        <f>-IF(Kalkulačka!$A$1="Senica",Diesel!G6,Diesel!G13)</f>
        <v>-5905.4366778623989</v>
      </c>
      <c r="D46" s="83">
        <f>-IF(Kalkulačka!$A$1="Senica",Diesel!H6,Diesel!H13)</f>
        <v>-5952.6801712852985</v>
      </c>
      <c r="E46" s="83">
        <f>-IF(Kalkulačka!$A$1="Senica",Diesel!I6,Diesel!I13)</f>
        <v>-6000.3016126555804</v>
      </c>
      <c r="F46" s="83">
        <f>-IF(Kalkulačka!$A$1="Senica",Diesel!J6,Diesel!J13)</f>
        <v>-6048.3040255568258</v>
      </c>
      <c r="G46" s="83">
        <f>-IF(Kalkulačka!$A$1="Senica",Diesel!K6,Diesel!K13)</f>
        <v>-6096.6904577612804</v>
      </c>
      <c r="H46" s="83">
        <f>-IF(Kalkulačka!$A$1="Senica",Diesel!L6,Diesel!L13)</f>
        <v>-6145.4639814233706</v>
      </c>
      <c r="I46" s="83">
        <f>-IF(Kalkulačka!$A$1="Senica",Diesel!M6,Diesel!M13)</f>
        <v>-6194.6276932747569</v>
      </c>
      <c r="J46" s="83">
        <f>-IF(Kalkulačka!$A$1="Senica",Diesel!N6,Diesel!N13)</f>
        <v>-6244.1847148209554</v>
      </c>
      <c r="K46" s="83">
        <f>-IF(Kalkulačka!$A$1="Senica",Diesel!O6,Diesel!O13)</f>
        <v>-6294.1381925395235</v>
      </c>
      <c r="L46" s="83">
        <f>-IF(Kalkulačka!$A$1="Senica",Diesel!P6,Diesel!P13)</f>
        <v>-6344.491298079839</v>
      </c>
      <c r="M46" s="83">
        <f>-IF(Kalkulačka!$A$1="Senica",Diesel!Q6,Diesel!Q13)</f>
        <v>-6395.2472284644773</v>
      </c>
      <c r="N46" s="83">
        <f>-IF(Kalkulačka!$A$1="Senica",Diesel!R6,Diesel!R13)</f>
        <v>-6446.4092062921936</v>
      </c>
      <c r="O46" s="83">
        <f>-IF(Kalkulačka!$A$1="Senica",Diesel!S6,Diesel!S13)</f>
        <v>-6497.9804799425319</v>
      </c>
      <c r="P46" s="83">
        <f>-IF(Kalkulačka!$A$1="Senica",Diesel!T6,Diesel!T13)</f>
        <v>-6549.964323782071</v>
      </c>
      <c r="Q46" s="83">
        <f>-IF(Kalkulačka!$A$1="Senica",Diesel!U6,Diesel!U13)</f>
        <v>-6602.3640383723287</v>
      </c>
      <c r="R46" s="83">
        <f>-IF(Kalkulačka!$A$1="Senica",Diesel!V6,Diesel!V13)</f>
        <v>-6655.1829506793074</v>
      </c>
      <c r="S46" s="83">
        <f>-IF(Kalkulačka!$A$1="Senica",Diesel!W6,Diesel!W13)</f>
        <v>-6708.4244142847419</v>
      </c>
      <c r="T46" s="83">
        <f>-IF(Kalkulačka!$A$1="Senica",Diesel!X6,Diesel!X13)</f>
        <v>-6762.0918095990191</v>
      </c>
      <c r="U46" s="83">
        <f>-IF(Kalkulačka!$A$1="Senica",Diesel!Y6,Diesel!Y13)</f>
        <v>-6816.1885440758124</v>
      </c>
      <c r="V46" s="83">
        <f>-IF(Kalkulačka!$A$1="Senica",Diesel!Z6,Diesel!Z13)</f>
        <v>-6870.7180524284195</v>
      </c>
    </row>
    <row r="47" spans="1:22" ht="16.5" x14ac:dyDescent="0.3">
      <c r="A47" s="100" t="s">
        <v>148</v>
      </c>
      <c r="B47" s="79"/>
      <c r="C47" s="83">
        <f>-Kalkulačka!C17</f>
        <v>-2062.5</v>
      </c>
      <c r="D47" s="83">
        <f>C47*(1+Kalkulačka!$C$3)</f>
        <v>-2103.75</v>
      </c>
      <c r="E47" s="83">
        <f>D47*(1+Kalkulačka!$C$3)</f>
        <v>-2145.8249999999998</v>
      </c>
      <c r="F47" s="83">
        <f>E47*(1+Kalkulačka!$C$3)</f>
        <v>-2188.7414999999996</v>
      </c>
      <c r="G47" s="83">
        <f>F47*(1+Kalkulačka!$C$3)</f>
        <v>-2232.5163299999995</v>
      </c>
      <c r="H47" s="83">
        <f>G47*(1+Kalkulačka!$C$3)</f>
        <v>-2277.1666565999994</v>
      </c>
      <c r="I47" s="83">
        <f>H47*(1+Kalkulačka!$C$3)</f>
        <v>-2322.7099897319995</v>
      </c>
      <c r="J47" s="83">
        <f>I47*(1+Kalkulačka!$C$3)</f>
        <v>-2369.1641895266393</v>
      </c>
      <c r="K47" s="83">
        <f>J47*(1+Kalkulačka!$C$3)</f>
        <v>-2416.5474733171723</v>
      </c>
      <c r="L47" s="83">
        <f>K47*(1+Kalkulačka!$C$3)</f>
        <v>-2464.8784227835158</v>
      </c>
      <c r="M47" s="83">
        <f>L47*(1+Kalkulačka!$C$3)</f>
        <v>-2514.1759912391863</v>
      </c>
      <c r="N47" s="83">
        <f>M47*(1+Kalkulačka!$C$3)</f>
        <v>-2564.4595110639702</v>
      </c>
      <c r="O47" s="83">
        <f>N47*(1+Kalkulačka!$C$3)</f>
        <v>-2615.7487012852498</v>
      </c>
      <c r="P47" s="83">
        <f>O47*(1+Kalkulačka!$C$3)</f>
        <v>-2668.0636753109547</v>
      </c>
      <c r="Q47" s="83">
        <f>P47*(1+Kalkulačka!$C$3)</f>
        <v>-2721.424948817174</v>
      </c>
      <c r="R47" s="83">
        <f>Q47*(1+Kalkulačka!$C$3)</f>
        <v>-2775.8534477935177</v>
      </c>
      <c r="S47" s="83">
        <f>R47*(1+Kalkulačka!$C$3)</f>
        <v>-2831.3705167493881</v>
      </c>
      <c r="T47" s="83">
        <f>S47*(1+Kalkulačka!$C$3)</f>
        <v>-2887.997927084376</v>
      </c>
      <c r="U47" s="83">
        <f>T47*(1+Kalkulačka!$C$3)</f>
        <v>-2945.7578856260634</v>
      </c>
      <c r="V47" s="83">
        <f>U47*(1+Kalkulačka!$C$3)</f>
        <v>-3004.6730433385846</v>
      </c>
    </row>
    <row r="48" spans="1:22" ht="16.5" x14ac:dyDescent="0.3">
      <c r="A48" s="99" t="s">
        <v>55</v>
      </c>
      <c r="B48" s="79"/>
      <c r="C48" s="83">
        <f>-Kalkulačka!$C$19*1.352*Kalkulačka!$C$21*12</f>
        <v>-57919.680000000008</v>
      </c>
      <c r="D48" s="83">
        <f>C48*(1+Kalkulačka!$C$20)</f>
        <v>-60236.467200000006</v>
      </c>
      <c r="E48" s="83">
        <f>D48*(1+Kalkulačka!$C$20)</f>
        <v>-62645.925888000005</v>
      </c>
      <c r="F48" s="83">
        <f>E48*(1+Kalkulačka!$C$20)</f>
        <v>-65151.762923520007</v>
      </c>
      <c r="G48" s="83">
        <f>F48*(1+Kalkulačka!$C$20)</f>
        <v>-67757.833440460803</v>
      </c>
      <c r="H48" s="83">
        <f>G48*(1+Kalkulačka!$C$20)</f>
        <v>-70468.146778079245</v>
      </c>
      <c r="I48" s="83">
        <f>H48*(1+Kalkulačka!$C$20)</f>
        <v>-73286.872649202414</v>
      </c>
      <c r="J48" s="83">
        <f>I48*(1+Kalkulačka!$C$20)</f>
        <v>-76218.34755517052</v>
      </c>
      <c r="K48" s="83">
        <f>J48*(1+Kalkulačka!$C$20)</f>
        <v>-79267.081457377339</v>
      </c>
      <c r="L48" s="83">
        <f>K48*(1+Kalkulačka!$C$20)</f>
        <v>-82437.764715672442</v>
      </c>
      <c r="M48" s="83">
        <f>L48*(1+Kalkulačka!$C$20)</f>
        <v>-85735.275304299343</v>
      </c>
      <c r="N48" s="83">
        <f>M48*(1+Kalkulačka!$C$20)</f>
        <v>-89164.686316471314</v>
      </c>
      <c r="O48" s="83">
        <f>N48*(1+Kalkulačka!$C$20)</f>
        <v>-92731.273769130174</v>
      </c>
      <c r="P48" s="83">
        <f>O48*(1+Kalkulačka!$C$20)</f>
        <v>-96440.524719895388</v>
      </c>
      <c r="Q48" s="83">
        <f>P48*(1+Kalkulačka!$C$20)</f>
        <v>-100298.14570869121</v>
      </c>
      <c r="R48" s="83">
        <f>Q48*(1+Kalkulačka!$C$20)</f>
        <v>-104310.07153703886</v>
      </c>
      <c r="S48" s="83">
        <f>R48*(1+Kalkulačka!$C$20)</f>
        <v>-108482.47439852043</v>
      </c>
      <c r="T48" s="83">
        <f>S48*(1+Kalkulačka!$C$20)</f>
        <v>-112821.77337446125</v>
      </c>
      <c r="U48" s="83">
        <f>T48*(1+Kalkulačka!$C$20)</f>
        <v>-117334.6443094397</v>
      </c>
      <c r="V48" s="83">
        <f>U48*(1+Kalkulačka!$C$20)</f>
        <v>-122028.03008181728</v>
      </c>
    </row>
    <row r="49" spans="1:22" ht="16.5" x14ac:dyDescent="0.3">
      <c r="A49" s="79"/>
      <c r="B49" s="79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</row>
    <row r="50" spans="1:22" ht="16.5" x14ac:dyDescent="0.3">
      <c r="A50" s="81" t="s">
        <v>40</v>
      </c>
      <c r="B50" s="81"/>
      <c r="C50" s="82">
        <f>C32+C33+C34+C38+C36</f>
        <v>-4784551.516677862</v>
      </c>
      <c r="D50" s="82">
        <f t="shared" ref="D50:V50" si="12">D32+D33+D34+D38+D36</f>
        <v>-4465738.2373712845</v>
      </c>
      <c r="E50" s="82">
        <f t="shared" si="12"/>
        <v>-4567294.261300656</v>
      </c>
      <c r="F50" s="82">
        <f t="shared" si="12"/>
        <v>-4664231.0514250761</v>
      </c>
      <c r="G50" s="82">
        <f t="shared" si="12"/>
        <v>-4760148.508063742</v>
      </c>
      <c r="H50" s="82">
        <f t="shared" si="12"/>
        <v>-4858602.1886083325</v>
      </c>
      <c r="I50" s="82">
        <f t="shared" si="12"/>
        <v>-4960967.3277482847</v>
      </c>
      <c r="J50" s="82">
        <f t="shared" si="12"/>
        <v>-5072264.7582239155</v>
      </c>
      <c r="K50" s="82">
        <f t="shared" si="12"/>
        <v>-5195535.2321229195</v>
      </c>
      <c r="L50" s="82">
        <f t="shared" si="12"/>
        <v>-5300275.3427362144</v>
      </c>
      <c r="M50" s="82">
        <f t="shared" si="12"/>
        <v>-5407225.5469896756</v>
      </c>
      <c r="N50" s="82">
        <f t="shared" si="12"/>
        <v>-5516302.2884688126</v>
      </c>
      <c r="O50" s="82">
        <f t="shared" si="12"/>
        <v>-5627681.0210540434</v>
      </c>
      <c r="P50" s="82">
        <f t="shared" si="12"/>
        <v>-5741344.7331847483</v>
      </c>
      <c r="Q50" s="82">
        <f t="shared" si="12"/>
        <v>-5857341.9727709563</v>
      </c>
      <c r="R50" s="82">
        <f t="shared" si="12"/>
        <v>-5975737.5727720885</v>
      </c>
      <c r="S50" s="82">
        <f t="shared" si="12"/>
        <v>-6096551.877462863</v>
      </c>
      <c r="T50" s="82">
        <f t="shared" si="12"/>
        <v>-6219860.8694071202</v>
      </c>
      <c r="U50" s="82">
        <f t="shared" si="12"/>
        <v>-6345706.0971610369</v>
      </c>
      <c r="V50" s="82">
        <f t="shared" si="12"/>
        <v>-6474147.0037279185</v>
      </c>
    </row>
    <row r="53" spans="1:22" x14ac:dyDescent="0.25">
      <c r="B53" s="101"/>
    </row>
    <row r="54" spans="1:22" x14ac:dyDescent="0.25">
      <c r="B54" s="101"/>
    </row>
    <row r="64" spans="1:22" x14ac:dyDescent="0.25">
      <c r="A64" s="7"/>
      <c r="B64" s="1"/>
      <c r="C64" s="1"/>
      <c r="D64" s="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20"/>
  <sheetViews>
    <sheetView workbookViewId="0">
      <selection activeCell="D25" sqref="D25"/>
    </sheetView>
  </sheetViews>
  <sheetFormatPr defaultColWidth="9.140625" defaultRowHeight="16.5" x14ac:dyDescent="0.3"/>
  <cols>
    <col min="1" max="1" width="17.5703125" style="55" customWidth="1"/>
    <col min="2" max="10" width="14.7109375" style="55" customWidth="1"/>
    <col min="11" max="11" width="13.5703125" style="55" customWidth="1"/>
    <col min="12" max="12" width="14.42578125" style="55" customWidth="1"/>
    <col min="13" max="16384" width="9.140625" style="55"/>
  </cols>
  <sheetData>
    <row r="1" spans="1:15" ht="30.75" customHeight="1" x14ac:dyDescent="0.3">
      <c r="A1" s="128" t="s">
        <v>133</v>
      </c>
      <c r="B1" s="127" t="s">
        <v>58</v>
      </c>
      <c r="C1" s="127" t="s">
        <v>59</v>
      </c>
      <c r="D1" s="127" t="s">
        <v>152</v>
      </c>
      <c r="E1" s="127" t="s">
        <v>113</v>
      </c>
      <c r="F1" s="127" t="s">
        <v>60</v>
      </c>
      <c r="G1" s="127" t="s">
        <v>54</v>
      </c>
      <c r="H1" s="127" t="s">
        <v>127</v>
      </c>
      <c r="I1" s="127" t="s">
        <v>112</v>
      </c>
      <c r="J1" s="127" t="s">
        <v>169</v>
      </c>
      <c r="K1" s="127" t="s">
        <v>172</v>
      </c>
      <c r="L1" s="127" t="s">
        <v>173</v>
      </c>
    </row>
    <row r="2" spans="1:15" x14ac:dyDescent="0.3">
      <c r="A2" s="129" t="s">
        <v>38</v>
      </c>
      <c r="B2" s="110">
        <f>Diesel!C13/Kalkulačka!C6</f>
        <v>110.8</v>
      </c>
      <c r="C2" s="110">
        <v>172893</v>
      </c>
      <c r="D2" s="30">
        <f>Ceny_listkov!J24*2/1.2</f>
        <v>167.13838992515346</v>
      </c>
      <c r="E2" s="119">
        <f>Ceny_listkov!G24*2/1.2</f>
        <v>79.500000000000014</v>
      </c>
      <c r="F2" s="112">
        <f>B8*D8+B9*D9+B10*D10</f>
        <v>393000</v>
      </c>
      <c r="G2" s="112">
        <f>SUM(B8:B10)</f>
        <v>5</v>
      </c>
      <c r="H2" s="132">
        <f>(I8+K8)*B8+(I9+K9)*B9+(I10+K10)*B10</f>
        <v>6005.8000000000011</v>
      </c>
      <c r="I2" s="132">
        <f>B8*I8+B9*I9+B10*I10</f>
        <v>2062.5</v>
      </c>
      <c r="J2" s="133">
        <v>4477465</v>
      </c>
      <c r="K2" s="134">
        <f>90*Ceny_listkov!F36</f>
        <v>14310</v>
      </c>
      <c r="L2" s="212">
        <v>604882850</v>
      </c>
    </row>
    <row r="3" spans="1:15" x14ac:dyDescent="0.3">
      <c r="A3" s="130" t="s">
        <v>39</v>
      </c>
      <c r="B3" s="114">
        <f>Diesel!C6/Kalkulačka!C6</f>
        <v>272</v>
      </c>
      <c r="C3" s="114">
        <v>255279</v>
      </c>
      <c r="D3" s="31">
        <f>Ceny_listkov!J14*2/1.2</f>
        <v>263.95251390066693</v>
      </c>
      <c r="E3" s="122">
        <f>Ceny_listkov!G14*2/1.2</f>
        <v>125.55</v>
      </c>
      <c r="F3" s="116">
        <f>C8*D8+C9*D9+C10*D10</f>
        <v>886000</v>
      </c>
      <c r="G3" s="116">
        <f>SUM(C8:C10)</f>
        <v>8</v>
      </c>
      <c r="H3" s="135">
        <f>(I8+K8)*C8+(I9+K9)*C9+(I10+K10)*C10</f>
        <v>12802.89</v>
      </c>
      <c r="I3" s="135">
        <f>C8*I8+C9*I9+C10*I10</f>
        <v>3315</v>
      </c>
      <c r="J3" s="136">
        <v>7314756</v>
      </c>
      <c r="K3" s="135">
        <f>90*Ceny_listkov!B41</f>
        <v>23940</v>
      </c>
      <c r="L3" s="213"/>
    </row>
    <row r="4" spans="1:15" x14ac:dyDescent="0.3">
      <c r="N4" s="117"/>
    </row>
    <row r="7" spans="1:15" ht="42" customHeight="1" x14ac:dyDescent="0.3">
      <c r="A7" s="127" t="s">
        <v>174</v>
      </c>
      <c r="B7" s="127" t="s">
        <v>72</v>
      </c>
      <c r="C7" s="127" t="s">
        <v>73</v>
      </c>
      <c r="D7" s="127" t="s">
        <v>70</v>
      </c>
      <c r="E7" s="127" t="s">
        <v>71</v>
      </c>
      <c r="F7" s="127" t="s">
        <v>147</v>
      </c>
      <c r="G7" s="127" t="s">
        <v>66</v>
      </c>
      <c r="H7" s="127" t="s">
        <v>69</v>
      </c>
      <c r="I7" s="127" t="s">
        <v>112</v>
      </c>
      <c r="J7" s="127" t="s">
        <v>122</v>
      </c>
      <c r="K7" s="127" t="s">
        <v>123</v>
      </c>
      <c r="L7" s="127" t="s">
        <v>76</v>
      </c>
      <c r="M7" s="127" t="s">
        <v>77</v>
      </c>
      <c r="N7" s="127" t="s">
        <v>78</v>
      </c>
      <c r="O7" s="127" t="s">
        <v>79</v>
      </c>
    </row>
    <row r="8" spans="1:15" x14ac:dyDescent="0.3">
      <c r="A8" s="131" t="s">
        <v>64</v>
      </c>
      <c r="B8" s="59">
        <v>0</v>
      </c>
      <c r="C8" s="59">
        <v>2</v>
      </c>
      <c r="D8" s="103">
        <v>215000</v>
      </c>
      <c r="E8" s="104">
        <v>28</v>
      </c>
      <c r="F8" s="209">
        <v>0.6</v>
      </c>
      <c r="G8" s="123" t="s">
        <v>68</v>
      </c>
      <c r="H8" s="59">
        <v>50</v>
      </c>
      <c r="I8" s="118">
        <v>442.5</v>
      </c>
      <c r="J8" s="119">
        <v>2331.7399999999998</v>
      </c>
      <c r="K8" s="118">
        <v>2590.83</v>
      </c>
      <c r="L8" s="59">
        <v>260.2</v>
      </c>
      <c r="M8" s="59">
        <v>365</v>
      </c>
      <c r="N8" s="59">
        <v>11980</v>
      </c>
      <c r="O8" s="59"/>
    </row>
    <row r="9" spans="1:15" x14ac:dyDescent="0.3">
      <c r="A9" s="131" t="s">
        <v>121</v>
      </c>
      <c r="B9" s="59">
        <v>3</v>
      </c>
      <c r="C9" s="59">
        <v>3</v>
      </c>
      <c r="D9" s="104">
        <v>89000</v>
      </c>
      <c r="E9" s="104">
        <v>19</v>
      </c>
      <c r="F9" s="210"/>
      <c r="G9" s="124" t="s">
        <v>67</v>
      </c>
      <c r="H9" s="59">
        <v>25</v>
      </c>
      <c r="I9" s="118">
        <v>442.5</v>
      </c>
      <c r="J9" s="119">
        <v>965.23</v>
      </c>
      <c r="K9" s="118">
        <v>1072.48</v>
      </c>
      <c r="L9" s="59">
        <v>140</v>
      </c>
      <c r="M9" s="59"/>
      <c r="N9" s="59"/>
      <c r="O9" s="59">
        <v>9800</v>
      </c>
    </row>
    <row r="10" spans="1:15" x14ac:dyDescent="0.3">
      <c r="A10" s="77" t="s">
        <v>65</v>
      </c>
      <c r="B10" s="120">
        <v>2</v>
      </c>
      <c r="C10" s="120">
        <v>3</v>
      </c>
      <c r="D10" s="105">
        <v>63000</v>
      </c>
      <c r="E10" s="106">
        <v>10.1</v>
      </c>
      <c r="F10" s="211"/>
      <c r="G10" s="125" t="s">
        <v>116</v>
      </c>
      <c r="H10" s="120">
        <v>20</v>
      </c>
      <c r="I10" s="121">
        <v>367.5</v>
      </c>
      <c r="J10" s="122">
        <v>326.64</v>
      </c>
      <c r="K10" s="121">
        <v>362.93</v>
      </c>
      <c r="L10" s="120">
        <v>120</v>
      </c>
      <c r="M10" s="120">
        <v>163</v>
      </c>
      <c r="N10" s="126">
        <v>2143</v>
      </c>
      <c r="O10" s="120">
        <v>2268</v>
      </c>
    </row>
    <row r="11" spans="1:15" x14ac:dyDescent="0.3">
      <c r="B11" s="59">
        <f>SUM(B8:B10)</f>
        <v>5</v>
      </c>
      <c r="C11" s="59">
        <f>SUM(C8:C10)</f>
        <v>8</v>
      </c>
      <c r="I11" s="34"/>
      <c r="K11" s="34"/>
    </row>
    <row r="12" spans="1:15" x14ac:dyDescent="0.3">
      <c r="B12" s="59"/>
      <c r="C12" s="59"/>
    </row>
    <row r="14" spans="1:15" x14ac:dyDescent="0.3">
      <c r="B14" s="107" t="s">
        <v>117</v>
      </c>
      <c r="C14" s="107" t="s">
        <v>168</v>
      </c>
    </row>
    <row r="15" spans="1:15" x14ac:dyDescent="0.3">
      <c r="A15" s="55" t="s">
        <v>114</v>
      </c>
      <c r="B15" s="53">
        <v>9279</v>
      </c>
      <c r="C15" s="55">
        <v>8407870</v>
      </c>
      <c r="G15" s="53"/>
    </row>
    <row r="16" spans="1:15" x14ac:dyDescent="0.3">
      <c r="A16" s="55" t="s">
        <v>115</v>
      </c>
      <c r="B16" s="55">
        <v>12681</v>
      </c>
      <c r="C16" s="53">
        <f>8421948+846633</f>
        <v>9268581</v>
      </c>
    </row>
    <row r="17" spans="2:3" x14ac:dyDescent="0.3">
      <c r="B17" s="108">
        <f>C17</f>
        <v>2.1023696845931252</v>
      </c>
      <c r="C17" s="108">
        <f>(C15+C16)/C15</f>
        <v>2.1023696845931252</v>
      </c>
    </row>
    <row r="20" spans="2:3" x14ac:dyDescent="0.3">
      <c r="C20" s="53"/>
    </row>
  </sheetData>
  <mergeCells count="2">
    <mergeCell ref="F8:F10"/>
    <mergeCell ref="L2:L3"/>
  </mergeCells>
  <hyperlinks>
    <hyperlink ref="E8" r:id="rId1" display="http://www.auto.cz/test-mercedes-benz-sprinter-316-cdi-2189"/>
    <hyperlink ref="E9" r:id="rId2" display="http://www.osmium.cz/pdf/stk092010_27.pdf"/>
    <hyperlink ref="E10" r:id="rId3" display="http://comcar.co.uk/details/Mercedes-Benz/Sprinter/519 CDI Bluetec LWB 5.0t HR Auto?clk=209"/>
    <hyperlink ref="B14" r:id="rId4"/>
    <hyperlink ref="D10" r:id="rId5" display="http://autoline-eu.sk/-/predaj/pou%C5%BEit%C3%A9/dod%C3%A1vky-osobn%C3%BD/MERCEDES-BENZ-SPRINTER-519-CDI-XXXXL--15110306260172067600"/>
    <hyperlink ref="D8" r:id="rId6" display="http://autoline.info/sf/bus-coach-bus-MERCEDES-BENZ-Tourismo--12072514441630789100.html"/>
    <hyperlink ref="D9" r:id="rId7" display="http://eng.auto24.lv/lietoti/isuzu/novo_ultra/1557012"/>
    <hyperlink ref="C14" r:id="rId8"/>
  </hyperlinks>
  <pageMargins left="0.7" right="0.7" top="0.75" bottom="0.75" header="0.3" footer="0.3"/>
  <pageSetup paperSize="9" orientation="portrait" r:id="rId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A40"/>
  <sheetViews>
    <sheetView topLeftCell="A16" workbookViewId="0">
      <selection activeCell="E38" sqref="E38"/>
    </sheetView>
  </sheetViews>
  <sheetFormatPr defaultRowHeight="16.5" x14ac:dyDescent="0.3"/>
  <cols>
    <col min="1" max="1" width="9.140625" style="162"/>
    <col min="2" max="2" width="9.140625" style="55"/>
    <col min="3" max="3" width="18.140625" style="55" customWidth="1"/>
    <col min="4" max="4" width="11" style="55" customWidth="1"/>
    <col min="5" max="5" width="12.5703125" style="55" customWidth="1"/>
    <col min="6" max="6" width="11" style="55" customWidth="1"/>
    <col min="7" max="19" width="8.42578125" style="55" customWidth="1"/>
    <col min="20" max="20" width="8.7109375" style="55" customWidth="1"/>
    <col min="21" max="26" width="8.42578125" style="55" customWidth="1"/>
    <col min="27" max="16384" width="9.140625" style="55"/>
  </cols>
  <sheetData>
    <row r="1" spans="1:26" hidden="1" x14ac:dyDescent="0.3">
      <c r="A1" s="214" t="s">
        <v>136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</row>
    <row r="2" spans="1:26" ht="31.5" hidden="1" customHeight="1" x14ac:dyDescent="0.3">
      <c r="A2" s="137" t="s">
        <v>134</v>
      </c>
      <c r="B2" s="137" t="s">
        <v>131</v>
      </c>
      <c r="C2" s="137" t="s">
        <v>133</v>
      </c>
      <c r="D2" s="138" t="s">
        <v>132</v>
      </c>
      <c r="E2" s="138"/>
      <c r="F2" s="138"/>
      <c r="G2" s="138">
        <v>2017</v>
      </c>
      <c r="H2" s="138">
        <v>2018</v>
      </c>
      <c r="I2" s="138">
        <v>2019</v>
      </c>
      <c r="J2" s="138">
        <v>2020</v>
      </c>
      <c r="K2" s="138">
        <v>2021</v>
      </c>
      <c r="L2" s="138">
        <v>2022</v>
      </c>
      <c r="M2" s="138">
        <v>2023</v>
      </c>
      <c r="N2" s="138">
        <v>2024</v>
      </c>
      <c r="O2" s="138">
        <v>2025</v>
      </c>
      <c r="P2" s="138">
        <v>2026</v>
      </c>
      <c r="Q2" s="138">
        <v>2027</v>
      </c>
      <c r="R2" s="138">
        <v>2028</v>
      </c>
      <c r="S2" s="138">
        <v>2029</v>
      </c>
      <c r="T2" s="138">
        <v>2030</v>
      </c>
      <c r="U2" s="138">
        <v>2031</v>
      </c>
      <c r="V2" s="138">
        <v>2032</v>
      </c>
      <c r="W2" s="138">
        <v>2033</v>
      </c>
      <c r="X2" s="138">
        <v>2034</v>
      </c>
      <c r="Y2" s="138">
        <v>2035</v>
      </c>
      <c r="Z2" s="138">
        <v>2036</v>
      </c>
    </row>
    <row r="3" spans="1:26" hidden="1" x14ac:dyDescent="0.3">
      <c r="A3" s="139">
        <v>1</v>
      </c>
      <c r="B3" s="58" t="s">
        <v>128</v>
      </c>
      <c r="C3" s="58" t="s">
        <v>38</v>
      </c>
      <c r="D3" s="140">
        <v>1672.0000000000002</v>
      </c>
      <c r="E3" s="140"/>
      <c r="F3" s="140"/>
      <c r="G3" s="141">
        <v>0.01</v>
      </c>
      <c r="H3" s="141">
        <v>0.01</v>
      </c>
      <c r="I3" s="141">
        <v>0.01</v>
      </c>
      <c r="J3" s="141">
        <f t="shared" ref="J3:Z3" si="0">I3+0.01</f>
        <v>0.02</v>
      </c>
      <c r="K3" s="141">
        <f t="shared" si="0"/>
        <v>0.03</v>
      </c>
      <c r="L3" s="141">
        <f t="shared" si="0"/>
        <v>0.04</v>
      </c>
      <c r="M3" s="141">
        <f t="shared" si="0"/>
        <v>0.05</v>
      </c>
      <c r="N3" s="141">
        <f t="shared" si="0"/>
        <v>6.0000000000000005E-2</v>
      </c>
      <c r="O3" s="141">
        <f t="shared" si="0"/>
        <v>7.0000000000000007E-2</v>
      </c>
      <c r="P3" s="141">
        <f t="shared" si="0"/>
        <v>0.08</v>
      </c>
      <c r="Q3" s="141">
        <f t="shared" si="0"/>
        <v>0.09</v>
      </c>
      <c r="R3" s="141">
        <f t="shared" si="0"/>
        <v>9.9999999999999992E-2</v>
      </c>
      <c r="S3" s="141">
        <f t="shared" si="0"/>
        <v>0.10999999999999999</v>
      </c>
      <c r="T3" s="141">
        <f t="shared" si="0"/>
        <v>0.11999999999999998</v>
      </c>
      <c r="U3" s="141">
        <f t="shared" si="0"/>
        <v>0.12999999999999998</v>
      </c>
      <c r="V3" s="141">
        <f t="shared" si="0"/>
        <v>0.13999999999999999</v>
      </c>
      <c r="W3" s="141">
        <f t="shared" si="0"/>
        <v>0.15</v>
      </c>
      <c r="X3" s="141">
        <f t="shared" si="0"/>
        <v>0.16</v>
      </c>
      <c r="Y3" s="141">
        <f t="shared" si="0"/>
        <v>0.17</v>
      </c>
      <c r="Z3" s="141">
        <f t="shared" si="0"/>
        <v>0.18000000000000002</v>
      </c>
    </row>
    <row r="4" spans="1:26" hidden="1" x14ac:dyDescent="0.3">
      <c r="A4" s="162">
        <v>2</v>
      </c>
      <c r="B4" s="55" t="s">
        <v>128</v>
      </c>
      <c r="C4" s="55" t="s">
        <v>39</v>
      </c>
      <c r="D4" s="109">
        <v>3192</v>
      </c>
      <c r="E4" s="109"/>
      <c r="F4" s="109"/>
      <c r="G4" s="141">
        <v>0.02</v>
      </c>
      <c r="H4" s="141">
        <v>0.02</v>
      </c>
      <c r="I4" s="141">
        <v>0.02</v>
      </c>
      <c r="J4" s="141">
        <f t="shared" ref="J4:Z4" si="1">I4+0.01</f>
        <v>0.03</v>
      </c>
      <c r="K4" s="141">
        <f t="shared" si="1"/>
        <v>0.04</v>
      </c>
      <c r="L4" s="141">
        <f t="shared" si="1"/>
        <v>0.05</v>
      </c>
      <c r="M4" s="141">
        <f t="shared" si="1"/>
        <v>6.0000000000000005E-2</v>
      </c>
      <c r="N4" s="141">
        <f t="shared" si="1"/>
        <v>7.0000000000000007E-2</v>
      </c>
      <c r="O4" s="141">
        <f t="shared" si="1"/>
        <v>0.08</v>
      </c>
      <c r="P4" s="141">
        <f t="shared" si="1"/>
        <v>0.09</v>
      </c>
      <c r="Q4" s="141">
        <f t="shared" si="1"/>
        <v>9.9999999999999992E-2</v>
      </c>
      <c r="R4" s="141">
        <f t="shared" si="1"/>
        <v>0.10999999999999999</v>
      </c>
      <c r="S4" s="141">
        <f t="shared" si="1"/>
        <v>0.11999999999999998</v>
      </c>
      <c r="T4" s="141">
        <f t="shared" si="1"/>
        <v>0.12999999999999998</v>
      </c>
      <c r="U4" s="141">
        <f t="shared" si="1"/>
        <v>0.13999999999999999</v>
      </c>
      <c r="V4" s="141">
        <f t="shared" si="1"/>
        <v>0.15</v>
      </c>
      <c r="W4" s="141">
        <f t="shared" si="1"/>
        <v>0.16</v>
      </c>
      <c r="X4" s="141">
        <f t="shared" si="1"/>
        <v>0.17</v>
      </c>
      <c r="Y4" s="141">
        <f t="shared" si="1"/>
        <v>0.18000000000000002</v>
      </c>
      <c r="Z4" s="141">
        <f t="shared" si="1"/>
        <v>0.19000000000000003</v>
      </c>
    </row>
    <row r="5" spans="1:26" hidden="1" x14ac:dyDescent="0.3">
      <c r="A5" s="162">
        <v>2</v>
      </c>
      <c r="B5" s="55" t="s">
        <v>128</v>
      </c>
      <c r="C5" s="55" t="s">
        <v>39</v>
      </c>
      <c r="D5" s="109">
        <v>5396</v>
      </c>
      <c r="E5" s="109"/>
      <c r="F5" s="109"/>
      <c r="G5" s="141">
        <v>0.02</v>
      </c>
      <c r="H5" s="141">
        <v>0.02</v>
      </c>
      <c r="I5" s="141">
        <v>0.02</v>
      </c>
      <c r="J5" s="141">
        <f t="shared" ref="J5:Z5" si="2">I5+0.01</f>
        <v>0.03</v>
      </c>
      <c r="K5" s="141">
        <f t="shared" si="2"/>
        <v>0.04</v>
      </c>
      <c r="L5" s="141">
        <f t="shared" si="2"/>
        <v>0.05</v>
      </c>
      <c r="M5" s="141">
        <f t="shared" si="2"/>
        <v>6.0000000000000005E-2</v>
      </c>
      <c r="N5" s="141">
        <f t="shared" si="2"/>
        <v>7.0000000000000007E-2</v>
      </c>
      <c r="O5" s="141">
        <f t="shared" si="2"/>
        <v>0.08</v>
      </c>
      <c r="P5" s="141">
        <f t="shared" si="2"/>
        <v>0.09</v>
      </c>
      <c r="Q5" s="141">
        <f t="shared" si="2"/>
        <v>9.9999999999999992E-2</v>
      </c>
      <c r="R5" s="141">
        <f t="shared" si="2"/>
        <v>0.10999999999999999</v>
      </c>
      <c r="S5" s="141">
        <f t="shared" si="2"/>
        <v>0.11999999999999998</v>
      </c>
      <c r="T5" s="141">
        <f t="shared" si="2"/>
        <v>0.12999999999999998</v>
      </c>
      <c r="U5" s="141">
        <f t="shared" si="2"/>
        <v>0.13999999999999999</v>
      </c>
      <c r="V5" s="141">
        <f t="shared" si="2"/>
        <v>0.15</v>
      </c>
      <c r="W5" s="141">
        <f t="shared" si="2"/>
        <v>0.16</v>
      </c>
      <c r="X5" s="141">
        <f t="shared" si="2"/>
        <v>0.17</v>
      </c>
      <c r="Y5" s="141">
        <f t="shared" si="2"/>
        <v>0.18000000000000002</v>
      </c>
      <c r="Z5" s="141">
        <f t="shared" si="2"/>
        <v>0.19000000000000003</v>
      </c>
    </row>
    <row r="6" spans="1:26" hidden="1" x14ac:dyDescent="0.3">
      <c r="A6" s="162">
        <v>3</v>
      </c>
      <c r="B6" s="58" t="s">
        <v>129</v>
      </c>
      <c r="C6" s="58" t="s">
        <v>38</v>
      </c>
      <c r="D6" s="151">
        <v>3268</v>
      </c>
      <c r="E6" s="151"/>
      <c r="F6" s="151"/>
      <c r="G6" s="141">
        <v>0.02</v>
      </c>
      <c r="H6" s="141">
        <v>0.02</v>
      </c>
      <c r="I6" s="141">
        <v>0.02</v>
      </c>
      <c r="J6" s="141">
        <f t="shared" ref="J6:Z6" si="3">I6+0.01</f>
        <v>0.03</v>
      </c>
      <c r="K6" s="141">
        <f t="shared" si="3"/>
        <v>0.04</v>
      </c>
      <c r="L6" s="141">
        <f t="shared" si="3"/>
        <v>0.05</v>
      </c>
      <c r="M6" s="141">
        <f t="shared" si="3"/>
        <v>6.0000000000000005E-2</v>
      </c>
      <c r="N6" s="141">
        <f t="shared" si="3"/>
        <v>7.0000000000000007E-2</v>
      </c>
      <c r="O6" s="141">
        <f t="shared" si="3"/>
        <v>0.08</v>
      </c>
      <c r="P6" s="141">
        <f t="shared" si="3"/>
        <v>0.09</v>
      </c>
      <c r="Q6" s="141">
        <f t="shared" si="3"/>
        <v>9.9999999999999992E-2</v>
      </c>
      <c r="R6" s="141">
        <f t="shared" si="3"/>
        <v>0.10999999999999999</v>
      </c>
      <c r="S6" s="141">
        <f t="shared" si="3"/>
        <v>0.11999999999999998</v>
      </c>
      <c r="T6" s="141">
        <f t="shared" si="3"/>
        <v>0.12999999999999998</v>
      </c>
      <c r="U6" s="141">
        <f t="shared" si="3"/>
        <v>0.13999999999999999</v>
      </c>
      <c r="V6" s="141">
        <f t="shared" si="3"/>
        <v>0.15</v>
      </c>
      <c r="W6" s="141">
        <f t="shared" si="3"/>
        <v>0.16</v>
      </c>
      <c r="X6" s="141">
        <f t="shared" si="3"/>
        <v>0.17</v>
      </c>
      <c r="Y6" s="141">
        <f t="shared" si="3"/>
        <v>0.18000000000000002</v>
      </c>
      <c r="Z6" s="141">
        <f t="shared" si="3"/>
        <v>0.19000000000000003</v>
      </c>
    </row>
    <row r="7" spans="1:26" hidden="1" x14ac:dyDescent="0.3">
      <c r="A7" s="162">
        <v>3</v>
      </c>
      <c r="B7" s="58" t="s">
        <v>129</v>
      </c>
      <c r="C7" s="58" t="s">
        <v>39</v>
      </c>
      <c r="D7" s="151">
        <v>4636</v>
      </c>
      <c r="E7" s="151"/>
      <c r="F7" s="151"/>
      <c r="G7" s="141">
        <v>0.02</v>
      </c>
      <c r="H7" s="141">
        <v>0.02</v>
      </c>
      <c r="I7" s="141">
        <v>0.02</v>
      </c>
      <c r="J7" s="141">
        <f t="shared" ref="J7:Z7" si="4">I7+0.01</f>
        <v>0.03</v>
      </c>
      <c r="K7" s="141">
        <f t="shared" si="4"/>
        <v>0.04</v>
      </c>
      <c r="L7" s="141">
        <f t="shared" si="4"/>
        <v>0.05</v>
      </c>
      <c r="M7" s="141">
        <f t="shared" si="4"/>
        <v>6.0000000000000005E-2</v>
      </c>
      <c r="N7" s="141">
        <f t="shared" si="4"/>
        <v>7.0000000000000007E-2</v>
      </c>
      <c r="O7" s="141">
        <f t="shared" si="4"/>
        <v>0.08</v>
      </c>
      <c r="P7" s="141">
        <f t="shared" si="4"/>
        <v>0.09</v>
      </c>
      <c r="Q7" s="141">
        <f t="shared" si="4"/>
        <v>9.9999999999999992E-2</v>
      </c>
      <c r="R7" s="141">
        <f t="shared" si="4"/>
        <v>0.10999999999999999</v>
      </c>
      <c r="S7" s="141">
        <f t="shared" si="4"/>
        <v>0.11999999999999998</v>
      </c>
      <c r="T7" s="141">
        <f t="shared" si="4"/>
        <v>0.12999999999999998</v>
      </c>
      <c r="U7" s="141">
        <f t="shared" si="4"/>
        <v>0.13999999999999999</v>
      </c>
      <c r="V7" s="141">
        <f t="shared" si="4"/>
        <v>0.15</v>
      </c>
      <c r="W7" s="141">
        <f t="shared" si="4"/>
        <v>0.16</v>
      </c>
      <c r="X7" s="141">
        <f t="shared" si="4"/>
        <v>0.17</v>
      </c>
      <c r="Y7" s="141">
        <f t="shared" si="4"/>
        <v>0.18000000000000002</v>
      </c>
      <c r="Z7" s="141">
        <f t="shared" si="4"/>
        <v>0.19000000000000003</v>
      </c>
    </row>
    <row r="8" spans="1:26" hidden="1" x14ac:dyDescent="0.3">
      <c r="A8" s="162">
        <v>3</v>
      </c>
      <c r="B8" s="58" t="s">
        <v>129</v>
      </c>
      <c r="C8" s="58" t="s">
        <v>39</v>
      </c>
      <c r="D8" s="151">
        <v>6460</v>
      </c>
      <c r="E8" s="151"/>
      <c r="F8" s="151"/>
      <c r="G8" s="141">
        <v>0.02</v>
      </c>
      <c r="H8" s="141">
        <v>0.02</v>
      </c>
      <c r="I8" s="141">
        <v>0.02</v>
      </c>
      <c r="J8" s="141">
        <f t="shared" ref="J8:Z8" si="5">I8+0.01</f>
        <v>0.03</v>
      </c>
      <c r="K8" s="141">
        <f t="shared" si="5"/>
        <v>0.04</v>
      </c>
      <c r="L8" s="141">
        <f t="shared" si="5"/>
        <v>0.05</v>
      </c>
      <c r="M8" s="141">
        <f t="shared" si="5"/>
        <v>6.0000000000000005E-2</v>
      </c>
      <c r="N8" s="141">
        <f t="shared" si="5"/>
        <v>7.0000000000000007E-2</v>
      </c>
      <c r="O8" s="141">
        <f t="shared" si="5"/>
        <v>0.08</v>
      </c>
      <c r="P8" s="141">
        <f t="shared" si="5"/>
        <v>0.09</v>
      </c>
      <c r="Q8" s="141">
        <f t="shared" si="5"/>
        <v>9.9999999999999992E-2</v>
      </c>
      <c r="R8" s="141">
        <f t="shared" si="5"/>
        <v>0.10999999999999999</v>
      </c>
      <c r="S8" s="141">
        <f t="shared" si="5"/>
        <v>0.11999999999999998</v>
      </c>
      <c r="T8" s="141">
        <f t="shared" si="5"/>
        <v>0.12999999999999998</v>
      </c>
      <c r="U8" s="141">
        <f t="shared" si="5"/>
        <v>0.13999999999999999</v>
      </c>
      <c r="V8" s="141">
        <f t="shared" si="5"/>
        <v>0.15</v>
      </c>
      <c r="W8" s="141">
        <f t="shared" si="5"/>
        <v>0.16</v>
      </c>
      <c r="X8" s="141">
        <f t="shared" si="5"/>
        <v>0.17</v>
      </c>
      <c r="Y8" s="141">
        <f t="shared" si="5"/>
        <v>0.18000000000000002</v>
      </c>
      <c r="Z8" s="141">
        <f t="shared" si="5"/>
        <v>0.19000000000000003</v>
      </c>
    </row>
    <row r="9" spans="1:26" hidden="1" x14ac:dyDescent="0.3">
      <c r="A9" s="162">
        <v>4</v>
      </c>
      <c r="B9" s="58" t="s">
        <v>130</v>
      </c>
      <c r="C9" s="58" t="s">
        <v>38</v>
      </c>
      <c r="D9" s="140">
        <v>3724.0000000000005</v>
      </c>
      <c r="E9" s="140"/>
      <c r="F9" s="140"/>
      <c r="G9" s="141">
        <v>0.02</v>
      </c>
      <c r="H9" s="141">
        <v>0.02</v>
      </c>
      <c r="I9" s="141">
        <v>0.02</v>
      </c>
      <c r="J9" s="141">
        <f t="shared" ref="J9:Z9" si="6">I9+0.015</f>
        <v>3.5000000000000003E-2</v>
      </c>
      <c r="K9" s="141">
        <f t="shared" si="6"/>
        <v>0.05</v>
      </c>
      <c r="L9" s="141">
        <f t="shared" si="6"/>
        <v>6.5000000000000002E-2</v>
      </c>
      <c r="M9" s="141">
        <f t="shared" si="6"/>
        <v>0.08</v>
      </c>
      <c r="N9" s="141">
        <f t="shared" si="6"/>
        <v>9.5000000000000001E-2</v>
      </c>
      <c r="O9" s="141">
        <f t="shared" si="6"/>
        <v>0.11</v>
      </c>
      <c r="P9" s="141">
        <f t="shared" si="6"/>
        <v>0.125</v>
      </c>
      <c r="Q9" s="141">
        <f t="shared" si="6"/>
        <v>0.14000000000000001</v>
      </c>
      <c r="R9" s="141">
        <f t="shared" si="6"/>
        <v>0.15500000000000003</v>
      </c>
      <c r="S9" s="141">
        <f t="shared" si="6"/>
        <v>0.17000000000000004</v>
      </c>
      <c r="T9" s="141">
        <f t="shared" si="6"/>
        <v>0.18500000000000005</v>
      </c>
      <c r="U9" s="141">
        <f t="shared" si="6"/>
        <v>0.20000000000000007</v>
      </c>
      <c r="V9" s="141">
        <f t="shared" si="6"/>
        <v>0.21500000000000008</v>
      </c>
      <c r="W9" s="141">
        <f t="shared" si="6"/>
        <v>0.23000000000000009</v>
      </c>
      <c r="X9" s="141">
        <f t="shared" si="6"/>
        <v>0.24500000000000011</v>
      </c>
      <c r="Y9" s="141">
        <f t="shared" si="6"/>
        <v>0.26000000000000012</v>
      </c>
      <c r="Z9" s="141">
        <f t="shared" si="6"/>
        <v>0.27500000000000013</v>
      </c>
    </row>
    <row r="10" spans="1:26" hidden="1" x14ac:dyDescent="0.3">
      <c r="A10" s="162">
        <v>4</v>
      </c>
      <c r="B10" s="58" t="s">
        <v>130</v>
      </c>
      <c r="C10" s="58" t="s">
        <v>38</v>
      </c>
      <c r="D10" s="140">
        <v>4408</v>
      </c>
      <c r="E10" s="140"/>
      <c r="F10" s="140"/>
      <c r="G10" s="141">
        <v>0.02</v>
      </c>
      <c r="H10" s="141">
        <v>0.02</v>
      </c>
      <c r="I10" s="141">
        <v>0.02</v>
      </c>
      <c r="J10" s="141">
        <f t="shared" ref="J10:Z10" si="7">I10+0.015</f>
        <v>3.5000000000000003E-2</v>
      </c>
      <c r="K10" s="141">
        <f t="shared" si="7"/>
        <v>0.05</v>
      </c>
      <c r="L10" s="141">
        <f t="shared" si="7"/>
        <v>6.5000000000000002E-2</v>
      </c>
      <c r="M10" s="141">
        <f t="shared" si="7"/>
        <v>0.08</v>
      </c>
      <c r="N10" s="141">
        <f t="shared" si="7"/>
        <v>9.5000000000000001E-2</v>
      </c>
      <c r="O10" s="141">
        <f t="shared" si="7"/>
        <v>0.11</v>
      </c>
      <c r="P10" s="141">
        <f t="shared" si="7"/>
        <v>0.125</v>
      </c>
      <c r="Q10" s="141">
        <f t="shared" si="7"/>
        <v>0.14000000000000001</v>
      </c>
      <c r="R10" s="141">
        <f t="shared" si="7"/>
        <v>0.15500000000000003</v>
      </c>
      <c r="S10" s="141">
        <f t="shared" si="7"/>
        <v>0.17000000000000004</v>
      </c>
      <c r="T10" s="141">
        <f t="shared" si="7"/>
        <v>0.18500000000000005</v>
      </c>
      <c r="U10" s="141">
        <f t="shared" si="7"/>
        <v>0.20000000000000007</v>
      </c>
      <c r="V10" s="141">
        <f t="shared" si="7"/>
        <v>0.21500000000000008</v>
      </c>
      <c r="W10" s="141">
        <f t="shared" si="7"/>
        <v>0.23000000000000009</v>
      </c>
      <c r="X10" s="141">
        <f t="shared" si="7"/>
        <v>0.24500000000000011</v>
      </c>
      <c r="Y10" s="141">
        <f t="shared" si="7"/>
        <v>0.26000000000000012</v>
      </c>
      <c r="Z10" s="141">
        <f t="shared" si="7"/>
        <v>0.27500000000000013</v>
      </c>
    </row>
    <row r="11" spans="1:26" hidden="1" x14ac:dyDescent="0.3">
      <c r="A11" s="162">
        <v>4</v>
      </c>
      <c r="B11" s="58" t="s">
        <v>130</v>
      </c>
      <c r="C11" s="58" t="s">
        <v>39</v>
      </c>
      <c r="D11" s="140">
        <v>5776</v>
      </c>
      <c r="E11" s="140"/>
      <c r="F11" s="140"/>
      <c r="G11" s="141">
        <v>0.02</v>
      </c>
      <c r="H11" s="141">
        <v>0.02</v>
      </c>
      <c r="I11" s="141">
        <v>0.02</v>
      </c>
      <c r="J11" s="141">
        <f t="shared" ref="J11:Z11" si="8">I11+0.015</f>
        <v>3.5000000000000003E-2</v>
      </c>
      <c r="K11" s="141">
        <f t="shared" si="8"/>
        <v>0.05</v>
      </c>
      <c r="L11" s="141">
        <f t="shared" si="8"/>
        <v>6.5000000000000002E-2</v>
      </c>
      <c r="M11" s="141">
        <f t="shared" si="8"/>
        <v>0.08</v>
      </c>
      <c r="N11" s="141">
        <f t="shared" si="8"/>
        <v>9.5000000000000001E-2</v>
      </c>
      <c r="O11" s="141">
        <f t="shared" si="8"/>
        <v>0.11</v>
      </c>
      <c r="P11" s="141">
        <f t="shared" si="8"/>
        <v>0.125</v>
      </c>
      <c r="Q11" s="141">
        <f t="shared" si="8"/>
        <v>0.14000000000000001</v>
      </c>
      <c r="R11" s="141">
        <f t="shared" si="8"/>
        <v>0.15500000000000003</v>
      </c>
      <c r="S11" s="141">
        <f t="shared" si="8"/>
        <v>0.17000000000000004</v>
      </c>
      <c r="T11" s="141">
        <f t="shared" si="8"/>
        <v>0.18500000000000005</v>
      </c>
      <c r="U11" s="141">
        <f t="shared" si="8"/>
        <v>0.20000000000000007</v>
      </c>
      <c r="V11" s="141">
        <f t="shared" si="8"/>
        <v>0.21500000000000008</v>
      </c>
      <c r="W11" s="141">
        <f t="shared" si="8"/>
        <v>0.23000000000000009</v>
      </c>
      <c r="X11" s="141">
        <f t="shared" si="8"/>
        <v>0.24500000000000011</v>
      </c>
      <c r="Y11" s="141">
        <f t="shared" si="8"/>
        <v>0.26000000000000012</v>
      </c>
      <c r="Z11" s="141">
        <f t="shared" si="8"/>
        <v>0.27500000000000013</v>
      </c>
    </row>
    <row r="12" spans="1:26" hidden="1" x14ac:dyDescent="0.3">
      <c r="A12" s="162">
        <v>4</v>
      </c>
      <c r="B12" s="58" t="s">
        <v>130</v>
      </c>
      <c r="C12" s="58" t="s">
        <v>39</v>
      </c>
      <c r="D12" s="140">
        <v>6916</v>
      </c>
      <c r="E12" s="140"/>
      <c r="F12" s="140"/>
      <c r="G12" s="141">
        <v>0.02</v>
      </c>
      <c r="H12" s="141">
        <v>0.02</v>
      </c>
      <c r="I12" s="141">
        <v>0.02</v>
      </c>
      <c r="J12" s="141">
        <f t="shared" ref="J12:Z12" si="9">I12+0.015</f>
        <v>3.5000000000000003E-2</v>
      </c>
      <c r="K12" s="141">
        <f t="shared" si="9"/>
        <v>0.05</v>
      </c>
      <c r="L12" s="141">
        <f t="shared" si="9"/>
        <v>6.5000000000000002E-2</v>
      </c>
      <c r="M12" s="141">
        <f t="shared" si="9"/>
        <v>0.08</v>
      </c>
      <c r="N12" s="141">
        <f t="shared" si="9"/>
        <v>9.5000000000000001E-2</v>
      </c>
      <c r="O12" s="141">
        <f t="shared" si="9"/>
        <v>0.11</v>
      </c>
      <c r="P12" s="141">
        <f t="shared" si="9"/>
        <v>0.125</v>
      </c>
      <c r="Q12" s="141">
        <f t="shared" si="9"/>
        <v>0.14000000000000001</v>
      </c>
      <c r="R12" s="141">
        <f t="shared" si="9"/>
        <v>0.15500000000000003</v>
      </c>
      <c r="S12" s="141">
        <f t="shared" si="9"/>
        <v>0.17000000000000004</v>
      </c>
      <c r="T12" s="141">
        <f t="shared" si="9"/>
        <v>0.18500000000000005</v>
      </c>
      <c r="U12" s="141">
        <f t="shared" si="9"/>
        <v>0.20000000000000007</v>
      </c>
      <c r="V12" s="141">
        <f t="shared" si="9"/>
        <v>0.21500000000000008</v>
      </c>
      <c r="W12" s="141">
        <f t="shared" si="9"/>
        <v>0.23000000000000009</v>
      </c>
      <c r="X12" s="141">
        <f t="shared" si="9"/>
        <v>0.24500000000000011</v>
      </c>
      <c r="Y12" s="141">
        <f t="shared" si="9"/>
        <v>0.26000000000000012</v>
      </c>
      <c r="Z12" s="141">
        <f t="shared" si="9"/>
        <v>0.27500000000000013</v>
      </c>
    </row>
    <row r="13" spans="1:26" hidden="1" x14ac:dyDescent="0.3">
      <c r="A13" s="162">
        <v>4</v>
      </c>
      <c r="B13" s="58" t="s">
        <v>130</v>
      </c>
      <c r="C13" s="58" t="s">
        <v>39</v>
      </c>
      <c r="D13" s="140">
        <v>7144</v>
      </c>
      <c r="E13" s="140"/>
      <c r="F13" s="140"/>
      <c r="G13" s="141">
        <v>0.02</v>
      </c>
      <c r="H13" s="141">
        <v>0.02</v>
      </c>
      <c r="I13" s="141">
        <v>0.02</v>
      </c>
      <c r="J13" s="141">
        <f t="shared" ref="J13:Z13" si="10">I13+0.015</f>
        <v>3.5000000000000003E-2</v>
      </c>
      <c r="K13" s="141">
        <f t="shared" si="10"/>
        <v>0.05</v>
      </c>
      <c r="L13" s="141">
        <f t="shared" si="10"/>
        <v>6.5000000000000002E-2</v>
      </c>
      <c r="M13" s="141">
        <f t="shared" si="10"/>
        <v>0.08</v>
      </c>
      <c r="N13" s="141">
        <f t="shared" si="10"/>
        <v>9.5000000000000001E-2</v>
      </c>
      <c r="O13" s="141">
        <f t="shared" si="10"/>
        <v>0.11</v>
      </c>
      <c r="P13" s="141">
        <f t="shared" si="10"/>
        <v>0.125</v>
      </c>
      <c r="Q13" s="141">
        <f t="shared" si="10"/>
        <v>0.14000000000000001</v>
      </c>
      <c r="R13" s="141">
        <f t="shared" si="10"/>
        <v>0.15500000000000003</v>
      </c>
      <c r="S13" s="141">
        <f t="shared" si="10"/>
        <v>0.17000000000000004</v>
      </c>
      <c r="T13" s="141">
        <f t="shared" si="10"/>
        <v>0.18500000000000005</v>
      </c>
      <c r="U13" s="141">
        <f t="shared" si="10"/>
        <v>0.20000000000000007</v>
      </c>
      <c r="V13" s="141">
        <f t="shared" si="10"/>
        <v>0.21500000000000008</v>
      </c>
      <c r="W13" s="141">
        <f t="shared" si="10"/>
        <v>0.23000000000000009</v>
      </c>
      <c r="X13" s="141">
        <f t="shared" si="10"/>
        <v>0.24500000000000011</v>
      </c>
      <c r="Y13" s="141">
        <f t="shared" si="10"/>
        <v>0.26000000000000012</v>
      </c>
      <c r="Z13" s="141">
        <f t="shared" si="10"/>
        <v>0.27500000000000013</v>
      </c>
    </row>
    <row r="14" spans="1:26" hidden="1" x14ac:dyDescent="0.3">
      <c r="A14" s="162">
        <v>4</v>
      </c>
      <c r="B14" s="58" t="s">
        <v>130</v>
      </c>
      <c r="C14" s="58" t="s">
        <v>38</v>
      </c>
      <c r="D14" s="140">
        <v>7980</v>
      </c>
      <c r="E14" s="140"/>
      <c r="F14" s="140"/>
      <c r="G14" s="141">
        <v>0.02</v>
      </c>
      <c r="H14" s="141">
        <v>0.02</v>
      </c>
      <c r="I14" s="141">
        <v>0.02</v>
      </c>
      <c r="J14" s="141">
        <f t="shared" ref="J14:Z14" si="11">I14+0.015</f>
        <v>3.5000000000000003E-2</v>
      </c>
      <c r="K14" s="141">
        <f t="shared" si="11"/>
        <v>0.05</v>
      </c>
      <c r="L14" s="141">
        <f t="shared" si="11"/>
        <v>6.5000000000000002E-2</v>
      </c>
      <c r="M14" s="141">
        <f t="shared" si="11"/>
        <v>0.08</v>
      </c>
      <c r="N14" s="141">
        <f t="shared" si="11"/>
        <v>9.5000000000000001E-2</v>
      </c>
      <c r="O14" s="141">
        <f t="shared" si="11"/>
        <v>0.11</v>
      </c>
      <c r="P14" s="141">
        <f t="shared" si="11"/>
        <v>0.125</v>
      </c>
      <c r="Q14" s="141">
        <f t="shared" si="11"/>
        <v>0.14000000000000001</v>
      </c>
      <c r="R14" s="141">
        <f t="shared" si="11"/>
        <v>0.15500000000000003</v>
      </c>
      <c r="S14" s="141">
        <f t="shared" si="11"/>
        <v>0.17000000000000004</v>
      </c>
      <c r="T14" s="141">
        <f t="shared" si="11"/>
        <v>0.18500000000000005</v>
      </c>
      <c r="U14" s="141">
        <f t="shared" si="11"/>
        <v>0.20000000000000007</v>
      </c>
      <c r="V14" s="141">
        <f t="shared" si="11"/>
        <v>0.21500000000000008</v>
      </c>
      <c r="W14" s="141">
        <f t="shared" si="11"/>
        <v>0.23000000000000009</v>
      </c>
      <c r="X14" s="141">
        <f t="shared" si="11"/>
        <v>0.24500000000000011</v>
      </c>
      <c r="Y14" s="141">
        <f t="shared" si="11"/>
        <v>0.26000000000000012</v>
      </c>
      <c r="Z14" s="141">
        <f t="shared" si="11"/>
        <v>0.27500000000000013</v>
      </c>
    </row>
    <row r="15" spans="1:26" hidden="1" x14ac:dyDescent="0.3">
      <c r="A15" s="173">
        <v>5</v>
      </c>
      <c r="B15" s="68" t="s">
        <v>130</v>
      </c>
      <c r="C15" s="68" t="s">
        <v>39</v>
      </c>
      <c r="D15" s="116">
        <v>12160</v>
      </c>
      <c r="E15" s="116"/>
      <c r="F15" s="116"/>
      <c r="G15" s="153">
        <v>0.03</v>
      </c>
      <c r="H15" s="153">
        <v>0.03</v>
      </c>
      <c r="I15" s="153">
        <v>0.03</v>
      </c>
      <c r="J15" s="153">
        <f t="shared" ref="J15:Z15" si="12">I15+0.02</f>
        <v>0.05</v>
      </c>
      <c r="K15" s="153">
        <f t="shared" si="12"/>
        <v>7.0000000000000007E-2</v>
      </c>
      <c r="L15" s="153">
        <f t="shared" si="12"/>
        <v>9.0000000000000011E-2</v>
      </c>
      <c r="M15" s="153">
        <f t="shared" si="12"/>
        <v>0.11000000000000001</v>
      </c>
      <c r="N15" s="153">
        <f t="shared" si="12"/>
        <v>0.13</v>
      </c>
      <c r="O15" s="153">
        <f t="shared" si="12"/>
        <v>0.15</v>
      </c>
      <c r="P15" s="153">
        <f t="shared" si="12"/>
        <v>0.16999999999999998</v>
      </c>
      <c r="Q15" s="153">
        <f t="shared" si="12"/>
        <v>0.18999999999999997</v>
      </c>
      <c r="R15" s="153">
        <f t="shared" si="12"/>
        <v>0.20999999999999996</v>
      </c>
      <c r="S15" s="153">
        <f t="shared" si="12"/>
        <v>0.22999999999999995</v>
      </c>
      <c r="T15" s="153">
        <f t="shared" si="12"/>
        <v>0.24999999999999994</v>
      </c>
      <c r="U15" s="153">
        <f t="shared" si="12"/>
        <v>0.26999999999999996</v>
      </c>
      <c r="V15" s="153">
        <f t="shared" si="12"/>
        <v>0.28999999999999998</v>
      </c>
      <c r="W15" s="153">
        <f t="shared" si="12"/>
        <v>0.31</v>
      </c>
      <c r="X15" s="153">
        <f t="shared" si="12"/>
        <v>0.33</v>
      </c>
      <c r="Y15" s="153">
        <f t="shared" si="12"/>
        <v>0.35000000000000003</v>
      </c>
      <c r="Z15" s="153">
        <f t="shared" si="12"/>
        <v>0.37000000000000005</v>
      </c>
    </row>
    <row r="16" spans="1:26" x14ac:dyDescent="0.3">
      <c r="A16" s="139"/>
      <c r="B16" s="58"/>
      <c r="C16" s="58"/>
      <c r="D16" s="151"/>
      <c r="E16" s="151"/>
      <c r="F16" s="151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</row>
    <row r="17" spans="1:27" s="168" customFormat="1" x14ac:dyDescent="0.3">
      <c r="A17" s="167"/>
      <c r="F17" s="165">
        <v>2016</v>
      </c>
      <c r="G17" s="166">
        <v>2017</v>
      </c>
      <c r="H17" s="166">
        <v>2018</v>
      </c>
      <c r="I17" s="166">
        <v>2019</v>
      </c>
      <c r="J17" s="166">
        <v>2020</v>
      </c>
      <c r="K17" s="166">
        <v>2021</v>
      </c>
      <c r="L17" s="166">
        <v>2022</v>
      </c>
      <c r="M17" s="166">
        <v>2023</v>
      </c>
      <c r="N17" s="166">
        <v>2024</v>
      </c>
      <c r="O17" s="166">
        <v>2025</v>
      </c>
      <c r="P17" s="166">
        <v>2026</v>
      </c>
      <c r="Q17" s="166">
        <v>2027</v>
      </c>
      <c r="R17" s="166">
        <v>2028</v>
      </c>
      <c r="S17" s="166">
        <v>2029</v>
      </c>
      <c r="T17" s="166">
        <v>2030</v>
      </c>
      <c r="U17" s="166">
        <v>2031</v>
      </c>
      <c r="V17" s="166">
        <v>2032</v>
      </c>
      <c r="W17" s="166">
        <v>2033</v>
      </c>
      <c r="X17" s="166">
        <v>2034</v>
      </c>
      <c r="Y17" s="166">
        <v>2035</v>
      </c>
      <c r="Z17" s="166">
        <v>2036</v>
      </c>
    </row>
    <row r="18" spans="1:27" ht="40.5" customHeight="1" x14ac:dyDescent="0.3">
      <c r="A18" s="142" t="s">
        <v>134</v>
      </c>
      <c r="B18" s="143"/>
      <c r="C18" s="143"/>
      <c r="D18" s="144" t="s">
        <v>135</v>
      </c>
      <c r="E18" s="145" t="s">
        <v>38</v>
      </c>
      <c r="F18" s="146">
        <v>42370</v>
      </c>
      <c r="G18" s="147">
        <v>42736</v>
      </c>
      <c r="H18" s="147">
        <v>43101</v>
      </c>
      <c r="I18" s="147">
        <v>43466</v>
      </c>
      <c r="J18" s="147">
        <v>43831</v>
      </c>
      <c r="K18" s="147">
        <v>44197</v>
      </c>
      <c r="L18" s="147">
        <v>44562</v>
      </c>
      <c r="M18" s="147">
        <v>44927</v>
      </c>
      <c r="N18" s="147">
        <v>45292</v>
      </c>
      <c r="O18" s="147">
        <v>45658</v>
      </c>
      <c r="P18" s="147">
        <v>46023</v>
      </c>
      <c r="Q18" s="147">
        <v>46388</v>
      </c>
      <c r="R18" s="147">
        <v>46753</v>
      </c>
      <c r="S18" s="147">
        <v>47119</v>
      </c>
      <c r="T18" s="147">
        <v>47484</v>
      </c>
      <c r="U18" s="147">
        <v>47849</v>
      </c>
      <c r="V18" s="147">
        <v>48214</v>
      </c>
      <c r="W18" s="147">
        <v>48580</v>
      </c>
      <c r="X18" s="147">
        <v>48945</v>
      </c>
      <c r="Y18" s="147">
        <v>49310</v>
      </c>
      <c r="Z18" s="147">
        <v>49675</v>
      </c>
    </row>
    <row r="19" spans="1:27" x14ac:dyDescent="0.3">
      <c r="A19" s="60">
        <v>1</v>
      </c>
      <c r="B19" s="148"/>
      <c r="C19" s="148"/>
      <c r="D19" s="149">
        <v>2</v>
      </c>
      <c r="E19" s="150">
        <v>1</v>
      </c>
      <c r="F19" s="151">
        <f>Predpoklady!D10</f>
        <v>63000</v>
      </c>
      <c r="G19" s="152">
        <v>5.3E-3</v>
      </c>
      <c r="H19" s="152">
        <v>5.3E-3</v>
      </c>
      <c r="I19" s="152">
        <v>1.4200000000000001E-2</v>
      </c>
      <c r="J19" s="152">
        <v>1.7899999999999999E-2</v>
      </c>
      <c r="K19" s="152">
        <v>1.9400000000000001E-2</v>
      </c>
      <c r="L19" s="152">
        <v>2.1299999999999999E-2</v>
      </c>
      <c r="M19" s="152">
        <v>2.4799999999999999E-2</v>
      </c>
      <c r="N19" s="152">
        <v>3.3700000000000001E-2</v>
      </c>
      <c r="O19" s="152">
        <v>5.04E-2</v>
      </c>
      <c r="P19" s="152">
        <v>5.0900000000000001E-2</v>
      </c>
      <c r="Q19" s="152">
        <v>5.1400000000000001E-2</v>
      </c>
      <c r="R19" s="152">
        <v>5.1900000000000002E-2</v>
      </c>
      <c r="S19" s="152">
        <v>5.2400000000000002E-2</v>
      </c>
      <c r="T19" s="152">
        <v>5.2900000000000003E-2</v>
      </c>
      <c r="U19" s="152">
        <v>5.3400000000000003E-2</v>
      </c>
      <c r="V19" s="152">
        <v>5.3999999999999999E-2</v>
      </c>
      <c r="W19" s="152">
        <v>5.45E-2</v>
      </c>
      <c r="X19" s="152">
        <v>5.5E-2</v>
      </c>
      <c r="Y19" s="152">
        <v>5.5599999999999997E-2</v>
      </c>
      <c r="Z19" s="152">
        <v>5.6099999999999997E-2</v>
      </c>
      <c r="AA19" s="58"/>
    </row>
    <row r="20" spans="1:27" x14ac:dyDescent="0.3">
      <c r="A20" s="60">
        <v>2</v>
      </c>
      <c r="B20" s="148"/>
      <c r="C20" s="148"/>
      <c r="D20" s="149">
        <v>2</v>
      </c>
      <c r="E20" s="150">
        <v>1</v>
      </c>
      <c r="F20" s="151">
        <f>Predpoklady!D9</f>
        <v>89000</v>
      </c>
      <c r="G20" s="152">
        <v>6.4999999999999997E-3</v>
      </c>
      <c r="H20" s="152">
        <v>6.4999999999999997E-3</v>
      </c>
      <c r="I20" s="152">
        <v>1.7100000000000001E-2</v>
      </c>
      <c r="J20" s="152">
        <v>2.1700000000000001E-2</v>
      </c>
      <c r="K20" s="152">
        <v>2.3400000000000001E-2</v>
      </c>
      <c r="L20" s="152">
        <v>2.58E-2</v>
      </c>
      <c r="M20" s="152">
        <v>0.03</v>
      </c>
      <c r="N20" s="152">
        <v>4.07E-2</v>
      </c>
      <c r="O20" s="152">
        <v>6.0900000000000003E-2</v>
      </c>
      <c r="P20" s="152">
        <v>6.1499999999999999E-2</v>
      </c>
      <c r="Q20" s="152">
        <v>6.2100000000000002E-2</v>
      </c>
      <c r="R20" s="152">
        <v>6.2700000000000006E-2</v>
      </c>
      <c r="S20" s="152">
        <v>6.3299999999999995E-2</v>
      </c>
      <c r="T20" s="152">
        <v>6.3899999999999998E-2</v>
      </c>
      <c r="U20" s="152">
        <v>6.4500000000000002E-2</v>
      </c>
      <c r="V20" s="152">
        <v>6.5199999999999994E-2</v>
      </c>
      <c r="W20" s="152">
        <v>6.5799999999999997E-2</v>
      </c>
      <c r="X20" s="152">
        <v>6.6500000000000004E-2</v>
      </c>
      <c r="Y20" s="152">
        <v>6.7100000000000007E-2</v>
      </c>
      <c r="Z20" s="152">
        <v>6.7799999999999999E-2</v>
      </c>
      <c r="AA20" s="58"/>
    </row>
    <row r="21" spans="1:27" x14ac:dyDescent="0.3">
      <c r="A21" s="120">
        <v>3</v>
      </c>
      <c r="B21" s="153"/>
      <c r="C21" s="153"/>
      <c r="D21" s="154">
        <v>4</v>
      </c>
      <c r="E21" s="155">
        <v>3</v>
      </c>
      <c r="F21" s="156">
        <f>Predpoklady!D8</f>
        <v>215000</v>
      </c>
      <c r="G21" s="157">
        <v>9.1000000000000004E-3</v>
      </c>
      <c r="H21" s="157">
        <v>9.1000000000000004E-3</v>
      </c>
      <c r="I21" s="157">
        <v>2.4199999999999999E-2</v>
      </c>
      <c r="J21" s="157">
        <v>3.0599999999999999E-2</v>
      </c>
      <c r="K21" s="157">
        <v>3.3099999999999997E-2</v>
      </c>
      <c r="L21" s="157">
        <v>3.6400000000000002E-2</v>
      </c>
      <c r="M21" s="157">
        <v>4.2299999999999997E-2</v>
      </c>
      <c r="N21" s="157">
        <v>5.7500000000000002E-2</v>
      </c>
      <c r="O21" s="157">
        <v>8.5999999999999993E-2</v>
      </c>
      <c r="P21" s="157">
        <v>8.6800000000000002E-2</v>
      </c>
      <c r="Q21" s="157">
        <v>8.77E-2</v>
      </c>
      <c r="R21" s="157">
        <v>8.8499999999999995E-2</v>
      </c>
      <c r="S21" s="157">
        <v>8.9399999999999993E-2</v>
      </c>
      <c r="T21" s="157">
        <v>9.0300000000000005E-2</v>
      </c>
      <c r="U21" s="157">
        <v>9.1200000000000003E-2</v>
      </c>
      <c r="V21" s="157">
        <v>9.2100000000000001E-2</v>
      </c>
      <c r="W21" s="157">
        <v>9.2999999999999999E-2</v>
      </c>
      <c r="X21" s="157">
        <v>9.3899999999999997E-2</v>
      </c>
      <c r="Y21" s="157">
        <v>9.4799999999999995E-2</v>
      </c>
      <c r="Z21" s="157">
        <v>9.5699999999999993E-2</v>
      </c>
      <c r="AA21" s="58"/>
    </row>
    <row r="22" spans="1:27" s="58" customFormat="1" x14ac:dyDescent="0.3">
      <c r="A22" s="60"/>
      <c r="B22" s="148"/>
      <c r="C22" s="148"/>
      <c r="D22" s="140">
        <f>SUM(D19:D21)</f>
        <v>8</v>
      </c>
      <c r="E22" s="140">
        <f>SUM(E19:E21)</f>
        <v>5</v>
      </c>
      <c r="F22" s="158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</row>
    <row r="23" spans="1:27" s="58" customFormat="1" x14ac:dyDescent="0.3">
      <c r="A23" s="60"/>
      <c r="B23" s="148"/>
      <c r="C23" s="148"/>
      <c r="D23" s="140"/>
      <c r="E23" s="140"/>
      <c r="F23" s="158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</row>
    <row r="24" spans="1:27" x14ac:dyDescent="0.3">
      <c r="A24" s="215" t="s">
        <v>140</v>
      </c>
      <c r="B24" s="215"/>
      <c r="C24" s="215"/>
      <c r="D24" s="215"/>
      <c r="E24" s="215"/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5"/>
      <c r="Z24" s="215"/>
    </row>
    <row r="25" spans="1:27" x14ac:dyDescent="0.3">
      <c r="A25" s="59">
        <v>1</v>
      </c>
      <c r="G25" s="159">
        <f>$D19*$F19*G19</f>
        <v>667.8</v>
      </c>
      <c r="H25" s="159">
        <f t="shared" ref="H25:Z25" si="13">$D19*$F19*H19</f>
        <v>667.8</v>
      </c>
      <c r="I25" s="159">
        <f t="shared" si="13"/>
        <v>1789.2</v>
      </c>
      <c r="J25" s="159">
        <f t="shared" si="13"/>
        <v>2255.4</v>
      </c>
      <c r="K25" s="159">
        <f t="shared" si="13"/>
        <v>2444.4</v>
      </c>
      <c r="L25" s="159">
        <f t="shared" si="13"/>
        <v>2683.7999999999997</v>
      </c>
      <c r="M25" s="159">
        <f t="shared" si="13"/>
        <v>3124.7999999999997</v>
      </c>
      <c r="N25" s="159">
        <f t="shared" si="13"/>
        <v>4246.2</v>
      </c>
      <c r="O25" s="159">
        <f t="shared" si="13"/>
        <v>6350.4</v>
      </c>
      <c r="P25" s="159">
        <f t="shared" si="13"/>
        <v>6413.4000000000005</v>
      </c>
      <c r="Q25" s="159">
        <f t="shared" si="13"/>
        <v>6476.4000000000005</v>
      </c>
      <c r="R25" s="159">
        <f t="shared" si="13"/>
        <v>6539.4000000000005</v>
      </c>
      <c r="S25" s="159">
        <f t="shared" si="13"/>
        <v>6602.4000000000005</v>
      </c>
      <c r="T25" s="159">
        <f t="shared" si="13"/>
        <v>6665.4000000000005</v>
      </c>
      <c r="U25" s="159">
        <f t="shared" si="13"/>
        <v>6728.4000000000005</v>
      </c>
      <c r="V25" s="159">
        <f t="shared" si="13"/>
        <v>6804</v>
      </c>
      <c r="W25" s="159">
        <f t="shared" si="13"/>
        <v>6867</v>
      </c>
      <c r="X25" s="159">
        <f t="shared" si="13"/>
        <v>6930</v>
      </c>
      <c r="Y25" s="159">
        <f t="shared" si="13"/>
        <v>7005.5999999999995</v>
      </c>
      <c r="Z25" s="159">
        <f t="shared" si="13"/>
        <v>7068.5999999999995</v>
      </c>
    </row>
    <row r="26" spans="1:27" x14ac:dyDescent="0.3">
      <c r="A26" s="59">
        <v>2</v>
      </c>
      <c r="G26" s="159">
        <f>$D20*$F20*G20</f>
        <v>1157</v>
      </c>
      <c r="H26" s="159">
        <f t="shared" ref="H26:Z26" si="14">$D20*$F20*H20</f>
        <v>1157</v>
      </c>
      <c r="I26" s="159">
        <f t="shared" si="14"/>
        <v>3043.8</v>
      </c>
      <c r="J26" s="159">
        <f t="shared" si="14"/>
        <v>3862.6</v>
      </c>
      <c r="K26" s="159">
        <f t="shared" si="14"/>
        <v>4165.2</v>
      </c>
      <c r="L26" s="159">
        <f t="shared" si="14"/>
        <v>4592.3999999999996</v>
      </c>
      <c r="M26" s="159">
        <f t="shared" si="14"/>
        <v>5340</v>
      </c>
      <c r="N26" s="159">
        <f t="shared" si="14"/>
        <v>7244.6</v>
      </c>
      <c r="O26" s="159">
        <f t="shared" si="14"/>
        <v>10840.2</v>
      </c>
      <c r="P26" s="159">
        <f t="shared" si="14"/>
        <v>10947</v>
      </c>
      <c r="Q26" s="159">
        <f t="shared" si="14"/>
        <v>11053.800000000001</v>
      </c>
      <c r="R26" s="159">
        <f t="shared" si="14"/>
        <v>11160.6</v>
      </c>
      <c r="S26" s="159">
        <f t="shared" si="14"/>
        <v>11267.4</v>
      </c>
      <c r="T26" s="159">
        <f t="shared" si="14"/>
        <v>11374.199999999999</v>
      </c>
      <c r="U26" s="159">
        <f t="shared" si="14"/>
        <v>11481</v>
      </c>
      <c r="V26" s="159">
        <f t="shared" si="14"/>
        <v>11605.599999999999</v>
      </c>
      <c r="W26" s="159">
        <f t="shared" si="14"/>
        <v>11712.4</v>
      </c>
      <c r="X26" s="159">
        <f t="shared" si="14"/>
        <v>11837</v>
      </c>
      <c r="Y26" s="159">
        <f t="shared" si="14"/>
        <v>11943.800000000001</v>
      </c>
      <c r="Z26" s="159">
        <f t="shared" si="14"/>
        <v>12068.4</v>
      </c>
    </row>
    <row r="27" spans="1:27" x14ac:dyDescent="0.3">
      <c r="A27" s="120">
        <v>3</v>
      </c>
      <c r="B27" s="68"/>
      <c r="C27" s="68"/>
      <c r="D27" s="68"/>
      <c r="E27" s="68"/>
      <c r="F27" s="68"/>
      <c r="G27" s="115">
        <f>$D21*$F21*G21</f>
        <v>7826</v>
      </c>
      <c r="H27" s="115">
        <f t="shared" ref="H27:Z27" si="15">$D21*$F21*H21</f>
        <v>7826</v>
      </c>
      <c r="I27" s="115">
        <f t="shared" si="15"/>
        <v>20812</v>
      </c>
      <c r="J27" s="115">
        <f t="shared" si="15"/>
        <v>26316</v>
      </c>
      <c r="K27" s="115">
        <f t="shared" si="15"/>
        <v>28465.999999999996</v>
      </c>
      <c r="L27" s="115">
        <f t="shared" si="15"/>
        <v>31304</v>
      </c>
      <c r="M27" s="115">
        <f t="shared" si="15"/>
        <v>36378</v>
      </c>
      <c r="N27" s="115">
        <f t="shared" si="15"/>
        <v>49450</v>
      </c>
      <c r="O27" s="115">
        <f t="shared" si="15"/>
        <v>73960</v>
      </c>
      <c r="P27" s="115">
        <f t="shared" si="15"/>
        <v>74648</v>
      </c>
      <c r="Q27" s="115">
        <f t="shared" si="15"/>
        <v>75422</v>
      </c>
      <c r="R27" s="115">
        <f t="shared" si="15"/>
        <v>76110</v>
      </c>
      <c r="S27" s="115">
        <f t="shared" si="15"/>
        <v>76884</v>
      </c>
      <c r="T27" s="115">
        <f t="shared" si="15"/>
        <v>77658</v>
      </c>
      <c r="U27" s="115">
        <f t="shared" si="15"/>
        <v>78432</v>
      </c>
      <c r="V27" s="115">
        <f t="shared" si="15"/>
        <v>79206</v>
      </c>
      <c r="W27" s="115">
        <f t="shared" si="15"/>
        <v>79980</v>
      </c>
      <c r="X27" s="115">
        <f t="shared" si="15"/>
        <v>80754</v>
      </c>
      <c r="Y27" s="115">
        <f t="shared" si="15"/>
        <v>81528</v>
      </c>
      <c r="Z27" s="115">
        <f t="shared" si="15"/>
        <v>82302</v>
      </c>
    </row>
    <row r="28" spans="1:27" x14ac:dyDescent="0.3">
      <c r="A28" s="59"/>
      <c r="G28" s="159">
        <f>SUM(G25:G27)</f>
        <v>9650.7999999999993</v>
      </c>
      <c r="H28" s="159">
        <f t="shared" ref="H28:Z28" si="16">SUM(H25:H27)</f>
        <v>9650.7999999999993</v>
      </c>
      <c r="I28" s="159">
        <f t="shared" si="16"/>
        <v>25645</v>
      </c>
      <c r="J28" s="159">
        <f t="shared" si="16"/>
        <v>32434</v>
      </c>
      <c r="K28" s="159">
        <f t="shared" si="16"/>
        <v>35075.599999999999</v>
      </c>
      <c r="L28" s="159">
        <f t="shared" si="16"/>
        <v>38580.199999999997</v>
      </c>
      <c r="M28" s="159">
        <f t="shared" si="16"/>
        <v>44842.8</v>
      </c>
      <c r="N28" s="159">
        <f t="shared" si="16"/>
        <v>60940.800000000003</v>
      </c>
      <c r="O28" s="159">
        <f t="shared" si="16"/>
        <v>91150.6</v>
      </c>
      <c r="P28" s="159">
        <f t="shared" si="16"/>
        <v>92008.4</v>
      </c>
      <c r="Q28" s="159">
        <f t="shared" si="16"/>
        <v>92952.2</v>
      </c>
      <c r="R28" s="159">
        <f t="shared" si="16"/>
        <v>93810</v>
      </c>
      <c r="S28" s="159">
        <f t="shared" si="16"/>
        <v>94753.8</v>
      </c>
      <c r="T28" s="159">
        <f t="shared" si="16"/>
        <v>95697.600000000006</v>
      </c>
      <c r="U28" s="159">
        <f t="shared" si="16"/>
        <v>96641.4</v>
      </c>
      <c r="V28" s="159">
        <f t="shared" si="16"/>
        <v>97615.6</v>
      </c>
      <c r="W28" s="159">
        <f t="shared" si="16"/>
        <v>98559.4</v>
      </c>
      <c r="X28" s="159">
        <f t="shared" si="16"/>
        <v>99521</v>
      </c>
      <c r="Y28" s="159">
        <f t="shared" si="16"/>
        <v>100477.4</v>
      </c>
      <c r="Z28" s="159">
        <f t="shared" si="16"/>
        <v>101439</v>
      </c>
    </row>
    <row r="29" spans="1:27" x14ac:dyDescent="0.3">
      <c r="A29" s="215" t="s">
        <v>141</v>
      </c>
      <c r="B29" s="215"/>
      <c r="C29" s="215"/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215"/>
      <c r="Y29" s="215"/>
      <c r="Z29" s="215"/>
    </row>
    <row r="30" spans="1:27" x14ac:dyDescent="0.3">
      <c r="A30" s="59">
        <v>1</v>
      </c>
      <c r="G30" s="160">
        <f>$E19*$F19*G19</f>
        <v>333.9</v>
      </c>
      <c r="H30" s="160">
        <f t="shared" ref="H30:Z32" si="17">$E19*$F19*H19</f>
        <v>333.9</v>
      </c>
      <c r="I30" s="160">
        <f t="shared" si="17"/>
        <v>894.6</v>
      </c>
      <c r="J30" s="160">
        <f t="shared" si="17"/>
        <v>1127.7</v>
      </c>
      <c r="K30" s="160">
        <f t="shared" si="17"/>
        <v>1222.2</v>
      </c>
      <c r="L30" s="160">
        <f t="shared" si="17"/>
        <v>1341.8999999999999</v>
      </c>
      <c r="M30" s="160">
        <f t="shared" si="17"/>
        <v>1562.3999999999999</v>
      </c>
      <c r="N30" s="160">
        <f t="shared" si="17"/>
        <v>2123.1</v>
      </c>
      <c r="O30" s="160">
        <f t="shared" si="17"/>
        <v>3175.2</v>
      </c>
      <c r="P30" s="160">
        <f t="shared" si="17"/>
        <v>3206.7000000000003</v>
      </c>
      <c r="Q30" s="160">
        <f t="shared" si="17"/>
        <v>3238.2000000000003</v>
      </c>
      <c r="R30" s="160">
        <f t="shared" si="17"/>
        <v>3269.7000000000003</v>
      </c>
      <c r="S30" s="160">
        <f t="shared" si="17"/>
        <v>3301.2000000000003</v>
      </c>
      <c r="T30" s="160">
        <f t="shared" si="17"/>
        <v>3332.7000000000003</v>
      </c>
      <c r="U30" s="160">
        <f t="shared" si="17"/>
        <v>3364.2000000000003</v>
      </c>
      <c r="V30" s="160">
        <f t="shared" si="17"/>
        <v>3402</v>
      </c>
      <c r="W30" s="160">
        <f t="shared" si="17"/>
        <v>3433.5</v>
      </c>
      <c r="X30" s="160">
        <f t="shared" si="17"/>
        <v>3465</v>
      </c>
      <c r="Y30" s="160">
        <f t="shared" si="17"/>
        <v>3502.7999999999997</v>
      </c>
      <c r="Z30" s="160">
        <f t="shared" si="17"/>
        <v>3534.2999999999997</v>
      </c>
    </row>
    <row r="31" spans="1:27" x14ac:dyDescent="0.3">
      <c r="A31" s="59">
        <v>2</v>
      </c>
      <c r="G31" s="160">
        <f t="shared" ref="G31:V32" si="18">$E20*$F20*G20</f>
        <v>578.5</v>
      </c>
      <c r="H31" s="160">
        <f t="shared" si="18"/>
        <v>578.5</v>
      </c>
      <c r="I31" s="160">
        <f t="shared" si="18"/>
        <v>1521.9</v>
      </c>
      <c r="J31" s="160">
        <f t="shared" si="18"/>
        <v>1931.3</v>
      </c>
      <c r="K31" s="160">
        <f t="shared" si="18"/>
        <v>2082.6</v>
      </c>
      <c r="L31" s="160">
        <f t="shared" si="18"/>
        <v>2296.1999999999998</v>
      </c>
      <c r="M31" s="160">
        <f t="shared" si="18"/>
        <v>2670</v>
      </c>
      <c r="N31" s="160">
        <f t="shared" si="18"/>
        <v>3622.3</v>
      </c>
      <c r="O31" s="160">
        <f t="shared" si="18"/>
        <v>5420.1</v>
      </c>
      <c r="P31" s="160">
        <f t="shared" si="18"/>
        <v>5473.5</v>
      </c>
      <c r="Q31" s="160">
        <f t="shared" si="18"/>
        <v>5526.9000000000005</v>
      </c>
      <c r="R31" s="160">
        <f t="shared" si="18"/>
        <v>5580.3</v>
      </c>
      <c r="S31" s="160">
        <f t="shared" si="18"/>
        <v>5633.7</v>
      </c>
      <c r="T31" s="160">
        <f t="shared" si="18"/>
        <v>5687.0999999999995</v>
      </c>
      <c r="U31" s="160">
        <f t="shared" si="18"/>
        <v>5740.5</v>
      </c>
      <c r="V31" s="160">
        <f t="shared" si="18"/>
        <v>5802.7999999999993</v>
      </c>
      <c r="W31" s="160">
        <f t="shared" si="17"/>
        <v>5856.2</v>
      </c>
      <c r="X31" s="160">
        <f t="shared" si="17"/>
        <v>5918.5</v>
      </c>
      <c r="Y31" s="160">
        <f t="shared" si="17"/>
        <v>5971.9000000000005</v>
      </c>
      <c r="Z31" s="160">
        <f t="shared" si="17"/>
        <v>6034.2</v>
      </c>
    </row>
    <row r="32" spans="1:27" x14ac:dyDescent="0.3">
      <c r="A32" s="122">
        <v>3</v>
      </c>
      <c r="B32" s="115"/>
      <c r="C32" s="115"/>
      <c r="D32" s="115"/>
      <c r="E32" s="115"/>
      <c r="F32" s="115"/>
      <c r="G32" s="115">
        <f t="shared" si="18"/>
        <v>5869.5</v>
      </c>
      <c r="H32" s="115">
        <f t="shared" si="17"/>
        <v>5869.5</v>
      </c>
      <c r="I32" s="115">
        <f t="shared" si="17"/>
        <v>15609</v>
      </c>
      <c r="J32" s="115">
        <f t="shared" si="17"/>
        <v>19737</v>
      </c>
      <c r="K32" s="115">
        <f t="shared" si="17"/>
        <v>21349.5</v>
      </c>
      <c r="L32" s="115">
        <f t="shared" si="17"/>
        <v>23478</v>
      </c>
      <c r="M32" s="115">
        <f t="shared" si="17"/>
        <v>27283.5</v>
      </c>
      <c r="N32" s="115">
        <f t="shared" si="17"/>
        <v>37087.5</v>
      </c>
      <c r="O32" s="115">
        <f t="shared" si="17"/>
        <v>55469.999999999993</v>
      </c>
      <c r="P32" s="115">
        <f t="shared" si="17"/>
        <v>55986</v>
      </c>
      <c r="Q32" s="115">
        <f t="shared" si="17"/>
        <v>56566.5</v>
      </c>
      <c r="R32" s="115">
        <f t="shared" si="17"/>
        <v>57082.5</v>
      </c>
      <c r="S32" s="115">
        <f t="shared" si="17"/>
        <v>57662.999999999993</v>
      </c>
      <c r="T32" s="115">
        <f t="shared" si="17"/>
        <v>58243.5</v>
      </c>
      <c r="U32" s="115">
        <f t="shared" si="17"/>
        <v>58824</v>
      </c>
      <c r="V32" s="115">
        <f t="shared" si="17"/>
        <v>59404.5</v>
      </c>
      <c r="W32" s="115">
        <f t="shared" si="17"/>
        <v>59985</v>
      </c>
      <c r="X32" s="115">
        <f t="shared" si="17"/>
        <v>60565.5</v>
      </c>
      <c r="Y32" s="115">
        <f t="shared" si="17"/>
        <v>61146</v>
      </c>
      <c r="Z32" s="115">
        <f t="shared" si="17"/>
        <v>61726.499999999993</v>
      </c>
    </row>
    <row r="33" spans="1:26" x14ac:dyDescent="0.3">
      <c r="G33" s="159">
        <f>SUM(G30:G32)</f>
        <v>6781.9</v>
      </c>
      <c r="H33" s="159">
        <f t="shared" ref="H33:Z33" si="19">SUM(H30:H32)</f>
        <v>6781.9</v>
      </c>
      <c r="I33" s="159">
        <f t="shared" si="19"/>
        <v>18025.5</v>
      </c>
      <c r="J33" s="159">
        <f t="shared" si="19"/>
        <v>22796</v>
      </c>
      <c r="K33" s="159">
        <f t="shared" si="19"/>
        <v>24654.3</v>
      </c>
      <c r="L33" s="159">
        <f t="shared" si="19"/>
        <v>27116.1</v>
      </c>
      <c r="M33" s="159">
        <f t="shared" si="19"/>
        <v>31515.9</v>
      </c>
      <c r="N33" s="159">
        <f t="shared" si="19"/>
        <v>42832.9</v>
      </c>
      <c r="O33" s="159">
        <f t="shared" si="19"/>
        <v>64065.299999999988</v>
      </c>
      <c r="P33" s="159">
        <f t="shared" si="19"/>
        <v>64666.2</v>
      </c>
      <c r="Q33" s="159">
        <f t="shared" si="19"/>
        <v>65331.6</v>
      </c>
      <c r="R33" s="159">
        <f t="shared" si="19"/>
        <v>65932.5</v>
      </c>
      <c r="S33" s="159">
        <f t="shared" si="19"/>
        <v>66597.899999999994</v>
      </c>
      <c r="T33" s="159">
        <f t="shared" si="19"/>
        <v>67263.3</v>
      </c>
      <c r="U33" s="159">
        <f t="shared" si="19"/>
        <v>67928.7</v>
      </c>
      <c r="V33" s="159">
        <f t="shared" si="19"/>
        <v>68609.3</v>
      </c>
      <c r="W33" s="159">
        <f t="shared" si="19"/>
        <v>69274.7</v>
      </c>
      <c r="X33" s="159">
        <f t="shared" si="19"/>
        <v>69949</v>
      </c>
      <c r="Y33" s="159">
        <f t="shared" si="19"/>
        <v>70620.7</v>
      </c>
      <c r="Z33" s="159">
        <f t="shared" si="19"/>
        <v>71295</v>
      </c>
    </row>
    <row r="34" spans="1:26" x14ac:dyDescent="0.3">
      <c r="G34" s="160"/>
    </row>
    <row r="35" spans="1:26" x14ac:dyDescent="0.3">
      <c r="A35" s="174" t="s">
        <v>146</v>
      </c>
    </row>
    <row r="36" spans="1:26" x14ac:dyDescent="0.3">
      <c r="A36" s="170"/>
      <c r="B36" s="171"/>
      <c r="C36" s="171"/>
      <c r="D36" s="171"/>
      <c r="E36" s="171"/>
      <c r="F36" s="161">
        <v>2016</v>
      </c>
      <c r="G36" s="161">
        <v>2017</v>
      </c>
      <c r="H36" s="161">
        <v>2018</v>
      </c>
      <c r="I36" s="161">
        <v>2019</v>
      </c>
      <c r="J36" s="161">
        <v>2020</v>
      </c>
      <c r="K36" s="161">
        <v>2021</v>
      </c>
      <c r="L36" s="161">
        <v>2022</v>
      </c>
      <c r="M36" s="161">
        <v>2023</v>
      </c>
      <c r="N36" s="161">
        <v>2024</v>
      </c>
      <c r="O36" s="161">
        <v>2025</v>
      </c>
      <c r="P36" s="161">
        <v>2026</v>
      </c>
      <c r="Q36" s="161">
        <v>2027</v>
      </c>
      <c r="R36" s="161">
        <v>2028</v>
      </c>
      <c r="S36" s="161">
        <v>2029</v>
      </c>
      <c r="T36" s="161">
        <v>2030</v>
      </c>
      <c r="U36" s="161">
        <v>2031</v>
      </c>
      <c r="V36" s="161">
        <v>2032</v>
      </c>
      <c r="W36" s="161">
        <v>2033</v>
      </c>
      <c r="X36" s="161">
        <v>2034</v>
      </c>
      <c r="Y36" s="161">
        <v>2035</v>
      </c>
      <c r="Z36" s="161">
        <v>2036</v>
      </c>
    </row>
    <row r="37" spans="1:26" x14ac:dyDescent="0.3">
      <c r="A37" s="162" t="s">
        <v>164</v>
      </c>
      <c r="F37" s="163">
        <f>Kalkulačka!C7</f>
        <v>1.3</v>
      </c>
      <c r="G37" s="164">
        <f>F37*(1+Kalkulačka!$C$3)*(1+Kalkulačka!C8)</f>
        <v>1.3923000000000001</v>
      </c>
      <c r="H37" s="164">
        <f>G37*(1+Kalkulačka!$C$3)</f>
        <v>1.4201460000000001</v>
      </c>
      <c r="I37" s="164">
        <f>H37*(1+Kalkulačka!$C$3)</f>
        <v>1.4485489200000001</v>
      </c>
      <c r="J37" s="164">
        <f>I37*(1+Kalkulačka!$C$3)</f>
        <v>1.4775198984000002</v>
      </c>
      <c r="K37" s="164">
        <f>J37*(1+Kalkulačka!$C$3)</f>
        <v>1.5070702963680003</v>
      </c>
      <c r="L37" s="164">
        <f>K37*(1+Kalkulačka!$C$3)</f>
        <v>1.5372117022953604</v>
      </c>
      <c r="M37" s="164">
        <f>L37*(1+Kalkulačka!$C$3)</f>
        <v>1.5679559363412676</v>
      </c>
      <c r="N37" s="164">
        <f>M37*(1+Kalkulačka!$C$3)</f>
        <v>1.599315055068093</v>
      </c>
      <c r="O37" s="164">
        <f>N37*(1+Kalkulačka!$C$3)</f>
        <v>1.6313013561694549</v>
      </c>
      <c r="P37" s="164">
        <f>O37*(1+Kalkulačka!$C$3)</f>
        <v>1.6639273832928441</v>
      </c>
      <c r="Q37" s="164">
        <f>P37*(1+Kalkulačka!$C$3)</f>
        <v>1.6972059309587009</v>
      </c>
      <c r="R37" s="164">
        <f>Q37*(1+Kalkulačka!$C$3)</f>
        <v>1.7311500495778749</v>
      </c>
      <c r="S37" s="164">
        <f>R37*(1+Kalkulačka!$C$3)</f>
        <v>1.7657730505694325</v>
      </c>
      <c r="T37" s="164">
        <f>S37*(1+Kalkulačka!$C$3)</f>
        <v>1.8010885115808211</v>
      </c>
      <c r="U37" s="164">
        <f>T37*(1+Kalkulačka!$C$3)</f>
        <v>1.8371102818124374</v>
      </c>
      <c r="V37" s="164">
        <f>U37*(1+Kalkulačka!$C$3)</f>
        <v>1.8738524874486862</v>
      </c>
      <c r="W37" s="164">
        <f>V37*(1+Kalkulačka!$C$3)</f>
        <v>1.91132953719766</v>
      </c>
      <c r="X37" s="164">
        <f>W37*(1+Kalkulačka!$C$3)</f>
        <v>1.9495561279416131</v>
      </c>
      <c r="Y37" s="164">
        <f>X37*(1+Kalkulačka!$C$3)</f>
        <v>1.9885472505004453</v>
      </c>
      <c r="Z37" s="164">
        <f>Y37*(1+Kalkulačka!$C$3)</f>
        <v>2.0283181955104541</v>
      </c>
    </row>
    <row r="40" spans="1:26" x14ac:dyDescent="0.3">
      <c r="E40" s="172"/>
    </row>
  </sheetData>
  <mergeCells count="3">
    <mergeCell ref="A1:Z1"/>
    <mergeCell ref="A24:Z24"/>
    <mergeCell ref="A29:Z2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A15"/>
  <sheetViews>
    <sheetView workbookViewId="0">
      <selection activeCell="K12" sqref="K12"/>
    </sheetView>
  </sheetViews>
  <sheetFormatPr defaultColWidth="9.140625" defaultRowHeight="16.5" x14ac:dyDescent="0.3"/>
  <cols>
    <col min="1" max="1" width="13.42578125" style="55" customWidth="1"/>
    <col min="2" max="2" width="7.28515625" style="55" customWidth="1"/>
    <col min="3" max="3" width="8.42578125" style="55" bestFit="1" customWidth="1"/>
    <col min="4" max="4" width="14" style="55" customWidth="1"/>
    <col min="5" max="6" width="9.140625" style="55"/>
    <col min="7" max="26" width="9.7109375" style="55" customWidth="1"/>
    <col min="27" max="16384" width="9.140625" style="55"/>
  </cols>
  <sheetData>
    <row r="1" spans="1:27" x14ac:dyDescent="0.3">
      <c r="A1" s="216" t="s">
        <v>39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176"/>
    </row>
    <row r="2" spans="1:27" ht="34.5" customHeight="1" x14ac:dyDescent="0.3">
      <c r="A2" s="128" t="s">
        <v>144</v>
      </c>
      <c r="B2" s="127" t="s">
        <v>167</v>
      </c>
      <c r="C2" s="178" t="s">
        <v>58</v>
      </c>
      <c r="D2" s="127" t="s">
        <v>143</v>
      </c>
      <c r="E2" s="128" t="s">
        <v>62</v>
      </c>
      <c r="F2" s="128"/>
      <c r="G2" s="128">
        <v>2017</v>
      </c>
      <c r="H2" s="128">
        <v>2018</v>
      </c>
      <c r="I2" s="128">
        <v>2019</v>
      </c>
      <c r="J2" s="128">
        <v>2020</v>
      </c>
      <c r="K2" s="128">
        <v>2021</v>
      </c>
      <c r="L2" s="128">
        <v>2022</v>
      </c>
      <c r="M2" s="128">
        <v>2023</v>
      </c>
      <c r="N2" s="128">
        <v>2024</v>
      </c>
      <c r="O2" s="128">
        <v>2025</v>
      </c>
      <c r="P2" s="128">
        <v>2026</v>
      </c>
      <c r="Q2" s="128">
        <v>2027</v>
      </c>
      <c r="R2" s="128">
        <v>2028</v>
      </c>
      <c r="S2" s="128">
        <v>2029</v>
      </c>
      <c r="T2" s="128">
        <v>2030</v>
      </c>
      <c r="U2" s="128">
        <v>2031</v>
      </c>
      <c r="V2" s="128">
        <v>2032</v>
      </c>
      <c r="W2" s="128">
        <v>2033</v>
      </c>
      <c r="X2" s="128">
        <v>2034</v>
      </c>
      <c r="Y2" s="128">
        <v>2035</v>
      </c>
      <c r="Z2" s="128">
        <v>2036</v>
      </c>
      <c r="AA2" s="139"/>
    </row>
    <row r="3" spans="1:27" x14ac:dyDescent="0.3">
      <c r="A3" s="59">
        <v>20</v>
      </c>
      <c r="B3" s="119">
        <v>45.2</v>
      </c>
      <c r="C3" s="49">
        <f>B3*Kalkulačka!$C$6</f>
        <v>8588</v>
      </c>
      <c r="D3" s="111">
        <f>C3*(1+Kalkulačka!$C$10)</f>
        <v>9876.1999999999989</v>
      </c>
      <c r="E3" s="55">
        <f>Predpoklady!E10</f>
        <v>10.1</v>
      </c>
      <c r="G3" s="111">
        <f>$D3*$E3/100*Kalkulačka!$C$18*(1+Kalkulačka!$C$3*(1-Predpoklady!F8))</f>
        <v>966.26259898559977</v>
      </c>
      <c r="H3" s="111">
        <f>G3*(1+Kalkulačka!$C$3*(1-Predpoklady!$F$8))</f>
        <v>973.99269977748452</v>
      </c>
      <c r="I3" s="111">
        <f>H3*(1+Kalkulačka!$C$3*(1-Predpoklady!$F$8))</f>
        <v>981.78464137570438</v>
      </c>
      <c r="J3" s="111">
        <f>I3*(1+Kalkulačka!$C$3*(1-Predpoklady!$F$8))</f>
        <v>989.63891850671007</v>
      </c>
      <c r="K3" s="111">
        <f>J3*(1+Kalkulačka!$C$3*(1-Predpoklady!$F$8))</f>
        <v>997.55602985476378</v>
      </c>
      <c r="L3" s="111">
        <f>K3*(1+Kalkulačka!$C$3*(1-Predpoklady!$F$8))</f>
        <v>1005.5364780936019</v>
      </c>
      <c r="M3" s="111">
        <f>L3*(1+Kalkulačka!$C$3*(1-Predpoklady!$F$8))</f>
        <v>1013.5807699183507</v>
      </c>
      <c r="N3" s="111">
        <f>M3*(1+Kalkulačka!$C$3*(1-Predpoklady!$F$8))</f>
        <v>1021.6894160776975</v>
      </c>
      <c r="O3" s="111">
        <f>N3*(1+Kalkulačka!$C$3*(1-Predpoklady!$F$8))</f>
        <v>1029.8629314063191</v>
      </c>
      <c r="P3" s="111">
        <f>O3*(1+Kalkulačka!$C$3*(1-Predpoklady!$F$8))</f>
        <v>1038.1018348575697</v>
      </c>
      <c r="Q3" s="111">
        <f>P3*(1+Kalkulačka!$C$3*(1-Predpoklady!$F$8))</f>
        <v>1046.4066495364302</v>
      </c>
      <c r="R3" s="111">
        <f>Q3*(1+Kalkulačka!$C$3*(1-Predpoklady!$F$8))</f>
        <v>1054.7779027327217</v>
      </c>
      <c r="S3" s="111">
        <f>R3*(1+Kalkulačka!$C$3*(1-Predpoklady!$F$8))</f>
        <v>1063.2161259545835</v>
      </c>
      <c r="T3" s="111">
        <f>S3*(1+Kalkulačka!$C$3*(1-Predpoklady!$F$8))</f>
        <v>1071.7218549622203</v>
      </c>
      <c r="U3" s="111">
        <f>T3*(1+Kalkulačka!$C$3*(1-Predpoklady!$F$8))</f>
        <v>1080.295629801918</v>
      </c>
      <c r="V3" s="111">
        <f>U3*(1+Kalkulačka!$C$3*(1-Predpoklady!$F$8))</f>
        <v>1088.9379948403334</v>
      </c>
      <c r="W3" s="111">
        <f>V3*(1+Kalkulačka!$C$3*(1-Predpoklady!$F$8))</f>
        <v>1097.6494987990561</v>
      </c>
      <c r="X3" s="111">
        <f>W3*(1+Kalkulačka!$C$3*(1-Predpoklady!$F$8))</f>
        <v>1106.4306947894486</v>
      </c>
      <c r="Y3" s="111">
        <f>X3*(1+Kalkulačka!$C$3*(1-Predpoklady!$F$8))</f>
        <v>1115.2821403477642</v>
      </c>
      <c r="Z3" s="111">
        <f>Y3*(1+Kalkulačka!$C$3*(1-Predpoklady!$F$8))</f>
        <v>1124.2043974705464</v>
      </c>
      <c r="AA3" s="160"/>
    </row>
    <row r="4" spans="1:27" x14ac:dyDescent="0.3">
      <c r="A4" s="59">
        <v>25</v>
      </c>
      <c r="B4" s="119">
        <v>58.4</v>
      </c>
      <c r="C4" s="49">
        <f>B4*Kalkulačka!$C$6</f>
        <v>11096</v>
      </c>
      <c r="D4" s="111">
        <f>C4*(1+Kalkulačka!$C$10)</f>
        <v>12760.4</v>
      </c>
      <c r="E4" s="53">
        <f>Predpoklady!E9</f>
        <v>19</v>
      </c>
      <c r="G4" s="111">
        <f>$D4*$E4/100*Kalkulačka!$C$18*(1+Kalkulačka!$C$3*(1-Predpoklady!F8))</f>
        <v>2348.5608074880001</v>
      </c>
      <c r="H4" s="111">
        <f>G4*(1+Kalkulačka!$C$3*(1-Predpoklady!$F$8))</f>
        <v>2367.3492939479042</v>
      </c>
      <c r="I4" s="111">
        <f>H4*(1+Kalkulačka!$C$3*(1-Predpoklady!$F$8))</f>
        <v>2386.2880882994873</v>
      </c>
      <c r="J4" s="111">
        <f>I4*(1+Kalkulačka!$C$3*(1-Predpoklady!$F$8))</f>
        <v>2405.378393005883</v>
      </c>
      <c r="K4" s="111">
        <f>J4*(1+Kalkulačka!$C$3*(1-Predpoklady!$F$8))</f>
        <v>2424.6214201499301</v>
      </c>
      <c r="L4" s="111">
        <f>K4*(1+Kalkulačka!$C$3*(1-Predpoklady!$F$8))</f>
        <v>2444.0183915111297</v>
      </c>
      <c r="M4" s="111">
        <f>L4*(1+Kalkulačka!$C$3*(1-Predpoklady!$F$8))</f>
        <v>2463.5705386432187</v>
      </c>
      <c r="N4" s="111">
        <f>M4*(1+Kalkulačka!$C$3*(1-Predpoklady!$F$8))</f>
        <v>2483.2791029523646</v>
      </c>
      <c r="O4" s="111">
        <f>N4*(1+Kalkulačka!$C$3*(1-Predpoklady!$F$8))</f>
        <v>2503.1453357759838</v>
      </c>
      <c r="P4" s="111">
        <f>O4*(1+Kalkulačka!$C$3*(1-Predpoklady!$F$8))</f>
        <v>2523.1704984621915</v>
      </c>
      <c r="Q4" s="111">
        <f>P4*(1+Kalkulačka!$C$3*(1-Predpoklady!$F$8))</f>
        <v>2543.3558624498892</v>
      </c>
      <c r="R4" s="111">
        <f>Q4*(1+Kalkulačka!$C$3*(1-Predpoklady!$F$8))</f>
        <v>2563.7027093494885</v>
      </c>
      <c r="S4" s="111">
        <f>R4*(1+Kalkulačka!$C$3*(1-Predpoklady!$F$8))</f>
        <v>2584.2123310242846</v>
      </c>
      <c r="T4" s="111">
        <f>S4*(1+Kalkulačka!$C$3*(1-Predpoklady!$F$8))</f>
        <v>2604.8860296724788</v>
      </c>
      <c r="U4" s="111">
        <f>T4*(1+Kalkulačka!$C$3*(1-Predpoklady!$F$8))</f>
        <v>2625.7251179098585</v>
      </c>
      <c r="V4" s="111">
        <f>U4*(1+Kalkulačka!$C$3*(1-Predpoklady!$F$8))</f>
        <v>2646.7309188531372</v>
      </c>
      <c r="W4" s="111">
        <f>V4*(1+Kalkulačka!$C$3*(1-Predpoklady!$F$8))</f>
        <v>2667.9047662039625</v>
      </c>
      <c r="X4" s="111">
        <f>W4*(1+Kalkulačka!$C$3*(1-Predpoklady!$F$8))</f>
        <v>2689.2480043335941</v>
      </c>
      <c r="Y4" s="111">
        <f>X4*(1+Kalkulačka!$C$3*(1-Predpoklady!$F$8))</f>
        <v>2710.7619883682628</v>
      </c>
      <c r="Z4" s="111">
        <f>Y4*(1+Kalkulačka!$C$3*(1-Predpoklady!$F$8))</f>
        <v>2732.4480842752091</v>
      </c>
      <c r="AA4" s="160"/>
    </row>
    <row r="5" spans="1:27" x14ac:dyDescent="0.3">
      <c r="A5" s="120">
        <v>50</v>
      </c>
      <c r="B5" s="122">
        <v>168.4</v>
      </c>
      <c r="C5" s="50">
        <f>B5*Kalkulačka!$C$6</f>
        <v>31996</v>
      </c>
      <c r="D5" s="115">
        <f>C5*(1+Kalkulačka!$C$10)</f>
        <v>36795.399999999994</v>
      </c>
      <c r="E5" s="61">
        <f>Predpoklady!E8</f>
        <v>28</v>
      </c>
      <c r="F5" s="68"/>
      <c r="G5" s="115">
        <f>$D5*$E5/100*Kalkulačka!$C$18*(1+Kalkulačka!$C$3*(1-Predpoklady!F8))</f>
        <v>9980.1134818559967</v>
      </c>
      <c r="H5" s="115">
        <f>G5*(1+Kalkulačka!$C$3*(1-Predpoklady!$F$8))</f>
        <v>10059.954389710845</v>
      </c>
      <c r="I5" s="115">
        <f>H5*(1+Kalkulačka!$C$3*(1-Predpoklady!$F$8))</f>
        <v>10140.434024828532</v>
      </c>
      <c r="J5" s="115">
        <f>I5*(1+Kalkulačka!$C$3*(1-Predpoklady!$F$8))</f>
        <v>10221.557497027159</v>
      </c>
      <c r="K5" s="115">
        <f>J5*(1+Kalkulačka!$C$3*(1-Predpoklady!$F$8))</f>
        <v>10303.329957003376</v>
      </c>
      <c r="L5" s="115">
        <f>K5*(1+Kalkulačka!$C$3*(1-Predpoklady!$F$8))</f>
        <v>10385.756596659403</v>
      </c>
      <c r="M5" s="115">
        <f>L5*(1+Kalkulačka!$C$3*(1-Predpoklady!$F$8))</f>
        <v>10468.842649432678</v>
      </c>
      <c r="N5" s="115">
        <f>M5*(1+Kalkulačka!$C$3*(1-Predpoklady!$F$8))</f>
        <v>10552.593390628139</v>
      </c>
      <c r="O5" s="115">
        <f>N5*(1+Kalkulačka!$C$3*(1-Predpoklady!$F$8))</f>
        <v>10637.014137753164</v>
      </c>
      <c r="P5" s="115">
        <f>O5*(1+Kalkulačka!$C$3*(1-Predpoklady!$F$8))</f>
        <v>10722.110250855188</v>
      </c>
      <c r="Q5" s="115">
        <f>P5*(1+Kalkulačka!$C$3*(1-Predpoklady!$F$8))</f>
        <v>10807.88713286203</v>
      </c>
      <c r="R5" s="115">
        <f>Q5*(1+Kalkulačka!$C$3*(1-Predpoklady!$F$8))</f>
        <v>10894.350229924927</v>
      </c>
      <c r="S5" s="115">
        <f>R5*(1+Kalkulačka!$C$3*(1-Predpoklady!$F$8))</f>
        <v>10981.505031764325</v>
      </c>
      <c r="T5" s="115">
        <f>S5*(1+Kalkulačka!$C$3*(1-Predpoklady!$F$8))</f>
        <v>11069.35707201844</v>
      </c>
      <c r="U5" s="115">
        <f>T5*(1+Kalkulačka!$C$3*(1-Predpoklady!$F$8))</f>
        <v>11157.911928594587</v>
      </c>
      <c r="V5" s="115">
        <f>U5*(1+Kalkulačka!$C$3*(1-Predpoklady!$F$8))</f>
        <v>11247.175224023344</v>
      </c>
      <c r="W5" s="115">
        <f>V5*(1+Kalkulačka!$C$3*(1-Predpoklady!$F$8))</f>
        <v>11337.15262581553</v>
      </c>
      <c r="X5" s="115">
        <f>W5*(1+Kalkulačka!$C$3*(1-Predpoklady!$F$8))</f>
        <v>11427.849846822055</v>
      </c>
      <c r="Y5" s="115">
        <f>X5*(1+Kalkulačka!$C$3*(1-Predpoklady!$F$8))</f>
        <v>11519.272645596631</v>
      </c>
      <c r="Z5" s="115">
        <f>Y5*(1+Kalkulačka!$C$3*(1-Predpoklady!$F$8))</f>
        <v>11611.426826761404</v>
      </c>
      <c r="AA5" s="160"/>
    </row>
    <row r="6" spans="1:27" x14ac:dyDescent="0.3">
      <c r="A6" s="59"/>
      <c r="B6" s="119">
        <f>SUM(B3:B5)</f>
        <v>272</v>
      </c>
      <c r="C6" s="119">
        <f>SUM(C3:C5)</f>
        <v>51680</v>
      </c>
      <c r="D6" s="59">
        <f>SUM(D3:D5)</f>
        <v>59431.999999999993</v>
      </c>
      <c r="G6" s="175">
        <f>SUM(G3:G5)</f>
        <v>13294.936888329597</v>
      </c>
      <c r="H6" s="175">
        <f t="shared" ref="H6:R6" si="0">SUM(H3:H5)</f>
        <v>13401.296383436234</v>
      </c>
      <c r="I6" s="175">
        <f t="shared" si="0"/>
        <v>13508.506754503724</v>
      </c>
      <c r="J6" s="175">
        <f t="shared" si="0"/>
        <v>13616.574808539752</v>
      </c>
      <c r="K6" s="175">
        <f t="shared" si="0"/>
        <v>13725.50740700807</v>
      </c>
      <c r="L6" s="175">
        <f t="shared" si="0"/>
        <v>13835.311466264135</v>
      </c>
      <c r="M6" s="175">
        <f t="shared" si="0"/>
        <v>13945.993957994247</v>
      </c>
      <c r="N6" s="175">
        <f t="shared" si="0"/>
        <v>14057.561909658201</v>
      </c>
      <c r="O6" s="175">
        <f t="shared" si="0"/>
        <v>14170.022404935466</v>
      </c>
      <c r="P6" s="175">
        <f t="shared" si="0"/>
        <v>14283.382584174949</v>
      </c>
      <c r="Q6" s="175">
        <f t="shared" si="0"/>
        <v>14397.649644848349</v>
      </c>
      <c r="R6" s="175">
        <f t="shared" si="0"/>
        <v>14512.830842007137</v>
      </c>
      <c r="S6" s="175">
        <f t="shared" ref="S6:Z6" si="1">SUM(S3:S5)</f>
        <v>14628.933488743194</v>
      </c>
      <c r="T6" s="175">
        <f t="shared" si="1"/>
        <v>14745.964956653139</v>
      </c>
      <c r="U6" s="175">
        <f t="shared" si="1"/>
        <v>14863.932676306364</v>
      </c>
      <c r="V6" s="175">
        <f t="shared" si="1"/>
        <v>14982.844137716815</v>
      </c>
      <c r="W6" s="175">
        <f t="shared" si="1"/>
        <v>15102.706890818548</v>
      </c>
      <c r="X6" s="175">
        <f t="shared" si="1"/>
        <v>15223.528545945097</v>
      </c>
      <c r="Y6" s="175">
        <f t="shared" si="1"/>
        <v>15345.316774312658</v>
      </c>
      <c r="Z6" s="175">
        <f t="shared" si="1"/>
        <v>15468.07930850716</v>
      </c>
      <c r="AA6" s="160"/>
    </row>
    <row r="7" spans="1:27" x14ac:dyDescent="0.3">
      <c r="AA7" s="58"/>
    </row>
    <row r="8" spans="1:27" x14ac:dyDescent="0.3">
      <c r="A8" s="214" t="s">
        <v>142</v>
      </c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4"/>
      <c r="AA8" s="176"/>
    </row>
    <row r="9" spans="1:27" ht="33" x14ac:dyDescent="0.3">
      <c r="A9" s="128" t="s">
        <v>144</v>
      </c>
      <c r="B9" s="180" t="s">
        <v>167</v>
      </c>
      <c r="C9" s="178" t="s">
        <v>58</v>
      </c>
      <c r="D9" s="127" t="s">
        <v>143</v>
      </c>
      <c r="E9" s="128" t="s">
        <v>62</v>
      </c>
      <c r="F9" s="179"/>
      <c r="G9" s="128">
        <v>2017</v>
      </c>
      <c r="H9" s="128">
        <v>2018</v>
      </c>
      <c r="I9" s="128">
        <v>2019</v>
      </c>
      <c r="J9" s="128">
        <v>2020</v>
      </c>
      <c r="K9" s="128">
        <v>2021</v>
      </c>
      <c r="L9" s="128">
        <v>2022</v>
      </c>
      <c r="M9" s="128">
        <v>2023</v>
      </c>
      <c r="N9" s="128">
        <v>2024</v>
      </c>
      <c r="O9" s="128">
        <v>2025</v>
      </c>
      <c r="P9" s="128">
        <v>2026</v>
      </c>
      <c r="Q9" s="128">
        <v>2027</v>
      </c>
      <c r="R9" s="128">
        <v>2028</v>
      </c>
      <c r="S9" s="128">
        <v>2029</v>
      </c>
      <c r="T9" s="128">
        <v>2030</v>
      </c>
      <c r="U9" s="128">
        <v>2031</v>
      </c>
      <c r="V9" s="128">
        <v>2032</v>
      </c>
      <c r="W9" s="128">
        <v>2033</v>
      </c>
      <c r="X9" s="128">
        <v>2034</v>
      </c>
      <c r="Y9" s="128">
        <v>2035</v>
      </c>
      <c r="Z9" s="128">
        <v>2036</v>
      </c>
      <c r="AA9" s="139"/>
    </row>
    <row r="10" spans="1:27" x14ac:dyDescent="0.3">
      <c r="A10" s="59">
        <v>20</v>
      </c>
      <c r="B10" s="119">
        <v>8.8000000000000007</v>
      </c>
      <c r="C10" s="49">
        <f>B10*Kalkulačka!$C$6</f>
        <v>1672.0000000000002</v>
      </c>
      <c r="D10" s="55">
        <f>C10*(1+Kalkulačka!$C$10)</f>
        <v>1922.8000000000002</v>
      </c>
      <c r="E10" s="55">
        <f>Predpoklady!E10</f>
        <v>10.1</v>
      </c>
      <c r="G10" s="111">
        <f>$D10*$E10/100*Kalkulačka!$C$18*(1+Kalkulačka!$C$3*(1-Predpoklady!F8))</f>
        <v>188.12192192640003</v>
      </c>
      <c r="H10" s="111">
        <f>G10*(1+Kalkulačka!$C$3*(1-Predpoklady!$F$8))</f>
        <v>189.62689730181123</v>
      </c>
      <c r="I10" s="111">
        <f>H10*(1+Kalkulačka!$C$3*(1-Predpoklady!$F$8))</f>
        <v>191.14391248022571</v>
      </c>
      <c r="J10" s="111">
        <f>I10*(1+Kalkulačka!$C$3*(1-Predpoklady!$F$8))</f>
        <v>192.67306378006751</v>
      </c>
      <c r="K10" s="111">
        <f>J10*(1+Kalkulačka!$C$3*(1-Predpoklady!$F$8))</f>
        <v>194.21444829030804</v>
      </c>
      <c r="L10" s="111">
        <f>K10*(1+Kalkulačka!$C$3*(1-Predpoklady!$F$8))</f>
        <v>195.7681638766305</v>
      </c>
      <c r="M10" s="111">
        <f>L10*(1+Kalkulačka!$C$3*(1-Predpoklady!$F$8))</f>
        <v>197.33430918764356</v>
      </c>
      <c r="N10" s="111">
        <f>M10*(1+Kalkulačka!$C$3*(1-Predpoklady!$F$8))</f>
        <v>198.91298366114469</v>
      </c>
      <c r="O10" s="111">
        <f>N10*(1+Kalkulačka!$C$3*(1-Predpoklady!$F$8))</f>
        <v>200.50428753043386</v>
      </c>
      <c r="P10" s="111">
        <f>O10*(1+Kalkulačka!$C$3*(1-Predpoklady!$F$8))</f>
        <v>202.10832183067734</v>
      </c>
      <c r="Q10" s="111">
        <f>P10*(1+Kalkulačka!$C$3*(1-Predpoklady!$F$8))</f>
        <v>203.72518840532277</v>
      </c>
      <c r="R10" s="111">
        <f>Q10*(1+Kalkulačka!$C$3*(1-Predpoklady!$F$8))</f>
        <v>205.35498991256534</v>
      </c>
      <c r="S10" s="111">
        <f>R10*(1+Kalkulačka!$C$3*(1-Predpoklady!$F$8))</f>
        <v>206.99782983186586</v>
      </c>
      <c r="T10" s="111">
        <f>S10*(1+Kalkulačka!$C$3*(1-Predpoklady!$F$8))</f>
        <v>208.65381247052079</v>
      </c>
      <c r="U10" s="111">
        <f>T10*(1+Kalkulačka!$C$3*(1-Predpoklady!$F$8))</f>
        <v>210.32304297028494</v>
      </c>
      <c r="V10" s="111">
        <f>U10*(1+Kalkulačka!$C$3*(1-Predpoklady!$F$8))</f>
        <v>212.00562731404722</v>
      </c>
      <c r="W10" s="111">
        <f>V10*(1+Kalkulačka!$C$3*(1-Predpoklady!$F$8))</f>
        <v>213.70167233255961</v>
      </c>
      <c r="X10" s="111">
        <f>W10*(1+Kalkulačka!$C$3*(1-Predpoklady!$F$8))</f>
        <v>215.4112857112201</v>
      </c>
      <c r="Y10" s="111">
        <f>X10*(1+Kalkulačka!$C$3*(1-Predpoklady!$F$8))</f>
        <v>217.13457599690986</v>
      </c>
      <c r="Z10" s="111">
        <f>Y10*(1+Kalkulačka!$C$3*(1-Predpoklady!$F$8))</f>
        <v>218.87165260488513</v>
      </c>
      <c r="AA10" s="160"/>
    </row>
    <row r="11" spans="1:27" x14ac:dyDescent="0.3">
      <c r="A11" s="59">
        <v>25</v>
      </c>
      <c r="B11" s="119">
        <v>17.2</v>
      </c>
      <c r="C11" s="49">
        <f>B11*Kalkulačka!$C$6</f>
        <v>3268</v>
      </c>
      <c r="D11" s="55">
        <f>C11*(1+Kalkulačka!$C$10)</f>
        <v>3758.2</v>
      </c>
      <c r="E11" s="53">
        <f>Predpoklady!E9</f>
        <v>19</v>
      </c>
      <c r="G11" s="111">
        <f>$D11*$E11/100*Kalkulačka!$C$18*(1+Kalkulačka!$C$3*(1-Predpoklady!F8))</f>
        <v>691.69941590400003</v>
      </c>
      <c r="H11" s="111">
        <f>G11*(1+Kalkulačka!$C$3*(1-Predpoklady!$F$8))</f>
        <v>697.23301123123201</v>
      </c>
      <c r="I11" s="111">
        <f>H11*(1+Kalkulačka!$C$3*(1-Predpoklady!$F$8))</f>
        <v>702.81087532108188</v>
      </c>
      <c r="J11" s="111">
        <f>I11*(1+Kalkulačka!$C$3*(1-Predpoklady!$F$8))</f>
        <v>708.4333623236505</v>
      </c>
      <c r="K11" s="111">
        <f>J11*(1+Kalkulačka!$C$3*(1-Predpoklady!$F$8))</f>
        <v>714.10082922223967</v>
      </c>
      <c r="L11" s="111">
        <f>K11*(1+Kalkulačka!$C$3*(1-Predpoklady!$F$8))</f>
        <v>719.81363585601764</v>
      </c>
      <c r="M11" s="111">
        <f>L11*(1+Kalkulačka!$C$3*(1-Predpoklady!$F$8))</f>
        <v>725.57214494286575</v>
      </c>
      <c r="N11" s="111">
        <f>M11*(1+Kalkulačka!$C$3*(1-Predpoklady!$F$8))</f>
        <v>731.37672210240873</v>
      </c>
      <c r="O11" s="111">
        <f>N11*(1+Kalkulačka!$C$3*(1-Predpoklady!$F$8))</f>
        <v>737.22773587922802</v>
      </c>
      <c r="P11" s="111">
        <f>O11*(1+Kalkulačka!$C$3*(1-Predpoklady!$F$8))</f>
        <v>743.12555776626186</v>
      </c>
      <c r="Q11" s="111">
        <f>P11*(1+Kalkulačka!$C$3*(1-Predpoklady!$F$8))</f>
        <v>749.07056222839196</v>
      </c>
      <c r="R11" s="111">
        <f>Q11*(1+Kalkulačka!$C$3*(1-Predpoklady!$F$8))</f>
        <v>755.06312672621914</v>
      </c>
      <c r="S11" s="111">
        <f>R11*(1+Kalkulačka!$C$3*(1-Predpoklady!$F$8))</f>
        <v>761.10363174002885</v>
      </c>
      <c r="T11" s="111">
        <f>S11*(1+Kalkulačka!$C$3*(1-Predpoklady!$F$8))</f>
        <v>767.19246079394907</v>
      </c>
      <c r="U11" s="111">
        <f>T11*(1+Kalkulačka!$C$3*(1-Predpoklady!$F$8))</f>
        <v>773.33000048030067</v>
      </c>
      <c r="V11" s="111">
        <f>U11*(1+Kalkulačka!$C$3*(1-Predpoklady!$F$8))</f>
        <v>779.51664048414307</v>
      </c>
      <c r="W11" s="111">
        <f>V11*(1+Kalkulačka!$C$3*(1-Predpoklady!$F$8))</f>
        <v>785.75277360801624</v>
      </c>
      <c r="X11" s="111">
        <f>W11*(1+Kalkulačka!$C$3*(1-Predpoklady!$F$8))</f>
        <v>792.03879579688032</v>
      </c>
      <c r="Y11" s="111">
        <f>X11*(1+Kalkulačka!$C$3*(1-Predpoklady!$F$8))</f>
        <v>798.3751061632554</v>
      </c>
      <c r="Z11" s="111">
        <f>Y11*(1+Kalkulačka!$C$3*(1-Predpoklady!$F$8))</f>
        <v>804.7621070125615</v>
      </c>
      <c r="AA11" s="160"/>
    </row>
    <row r="12" spans="1:27" x14ac:dyDescent="0.3">
      <c r="A12" s="120">
        <v>50</v>
      </c>
      <c r="B12" s="122">
        <v>84.8</v>
      </c>
      <c r="C12" s="50">
        <f>B12*Kalkulačka!$C$6</f>
        <v>16112</v>
      </c>
      <c r="D12" s="68">
        <f>C12*(1+Kalkulačka!$C$10)</f>
        <v>18528.8</v>
      </c>
      <c r="E12" s="61">
        <f>Predpoklady!E8</f>
        <v>28</v>
      </c>
      <c r="F12" s="68"/>
      <c r="G12" s="115">
        <f>$D12*$E12/100*Kalkulačka!$C$18*(1+Kalkulačka!$C$3*(1-Predpoklady!F8))</f>
        <v>5025.615340031999</v>
      </c>
      <c r="H12" s="115">
        <f>G12*(1+Kalkulačka!$C$3*(1-Predpoklady!$F$8))</f>
        <v>5065.8202627522551</v>
      </c>
      <c r="I12" s="115">
        <f>H12*(1+Kalkulačka!$C$3*(1-Predpoklady!$F$8))</f>
        <v>5106.3468248542731</v>
      </c>
      <c r="J12" s="115">
        <f>I12*(1+Kalkulačka!$C$3*(1-Predpoklady!$F$8))</f>
        <v>5147.1975994531076</v>
      </c>
      <c r="K12" s="115">
        <f>J12*(1+Kalkulačka!$C$3*(1-Predpoklady!$F$8))</f>
        <v>5188.3751802487322</v>
      </c>
      <c r="L12" s="115">
        <f>K12*(1+Kalkulačka!$C$3*(1-Predpoklady!$F$8))</f>
        <v>5229.8821816907221</v>
      </c>
      <c r="M12" s="115">
        <f>L12*(1+Kalkulačka!$C$3*(1-Predpoklady!$F$8))</f>
        <v>5271.7212391442481</v>
      </c>
      <c r="N12" s="115">
        <f>M12*(1+Kalkulačka!$C$3*(1-Predpoklady!$F$8))</f>
        <v>5313.8950090574017</v>
      </c>
      <c r="O12" s="115">
        <f>N12*(1+Kalkulačka!$C$3*(1-Predpoklady!$F$8))</f>
        <v>5356.4061691298612</v>
      </c>
      <c r="P12" s="115">
        <f>O12*(1+Kalkulačka!$C$3*(1-Predpoklady!$F$8))</f>
        <v>5399.2574184829</v>
      </c>
      <c r="Q12" s="115">
        <f>P12*(1+Kalkulačka!$C$3*(1-Predpoklady!$F$8))</f>
        <v>5442.451477830763</v>
      </c>
      <c r="R12" s="115">
        <f>Q12*(1+Kalkulačka!$C$3*(1-Predpoklady!$F$8))</f>
        <v>5485.9910896534093</v>
      </c>
      <c r="S12" s="115">
        <f>R12*(1+Kalkulačka!$C$3*(1-Predpoklady!$F$8))</f>
        <v>5529.8790183706369</v>
      </c>
      <c r="T12" s="115">
        <f>S12*(1+Kalkulačka!$C$3*(1-Predpoklady!$F$8))</f>
        <v>5574.1180505176017</v>
      </c>
      <c r="U12" s="115">
        <f>T12*(1+Kalkulačka!$C$3*(1-Predpoklady!$F$8))</f>
        <v>5618.7109949217429</v>
      </c>
      <c r="V12" s="115">
        <f>U12*(1+Kalkulačka!$C$3*(1-Predpoklady!$F$8))</f>
        <v>5663.6606828811173</v>
      </c>
      <c r="W12" s="115">
        <f>V12*(1+Kalkulačka!$C$3*(1-Predpoklady!$F$8))</f>
        <v>5708.9699683441659</v>
      </c>
      <c r="X12" s="115">
        <f>W12*(1+Kalkulačka!$C$3*(1-Predpoklady!$F$8))</f>
        <v>5754.6417280909191</v>
      </c>
      <c r="Y12" s="115">
        <f>X12*(1+Kalkulačka!$C$3*(1-Predpoklady!$F$8))</f>
        <v>5800.6788619156468</v>
      </c>
      <c r="Z12" s="115">
        <f>Y12*(1+Kalkulačka!$C$3*(1-Predpoklady!$F$8))</f>
        <v>5847.0842928109723</v>
      </c>
      <c r="AA12" s="160"/>
    </row>
    <row r="13" spans="1:27" x14ac:dyDescent="0.3">
      <c r="B13" s="59">
        <f>SUM(B10:B12)</f>
        <v>110.8</v>
      </c>
      <c r="C13" s="59">
        <f>SUM(C10:C12)</f>
        <v>21052</v>
      </c>
      <c r="D13" s="119">
        <f>SUM(D10:D12)</f>
        <v>24209.8</v>
      </c>
      <c r="G13" s="177">
        <f>SUM(G10:G12)</f>
        <v>5905.4366778623989</v>
      </c>
      <c r="H13" s="177">
        <f t="shared" ref="H13:Z13" si="2">SUM(H10:H12)</f>
        <v>5952.6801712852985</v>
      </c>
      <c r="I13" s="177">
        <f t="shared" si="2"/>
        <v>6000.3016126555804</v>
      </c>
      <c r="J13" s="177">
        <f t="shared" si="2"/>
        <v>6048.3040255568258</v>
      </c>
      <c r="K13" s="177">
        <f t="shared" si="2"/>
        <v>6096.6904577612804</v>
      </c>
      <c r="L13" s="177">
        <f t="shared" si="2"/>
        <v>6145.4639814233706</v>
      </c>
      <c r="M13" s="177">
        <f t="shared" si="2"/>
        <v>6194.6276932747569</v>
      </c>
      <c r="N13" s="177">
        <f t="shared" si="2"/>
        <v>6244.1847148209554</v>
      </c>
      <c r="O13" s="177">
        <f t="shared" si="2"/>
        <v>6294.1381925395235</v>
      </c>
      <c r="P13" s="177">
        <f t="shared" si="2"/>
        <v>6344.491298079839</v>
      </c>
      <c r="Q13" s="177">
        <f t="shared" si="2"/>
        <v>6395.2472284644773</v>
      </c>
      <c r="R13" s="177">
        <f t="shared" si="2"/>
        <v>6446.4092062921936</v>
      </c>
      <c r="S13" s="177">
        <f t="shared" si="2"/>
        <v>6497.9804799425319</v>
      </c>
      <c r="T13" s="177">
        <f t="shared" si="2"/>
        <v>6549.964323782071</v>
      </c>
      <c r="U13" s="177">
        <f t="shared" si="2"/>
        <v>6602.3640383723287</v>
      </c>
      <c r="V13" s="177">
        <f t="shared" si="2"/>
        <v>6655.1829506793074</v>
      </c>
      <c r="W13" s="177">
        <f t="shared" si="2"/>
        <v>6708.4244142847419</v>
      </c>
      <c r="X13" s="177">
        <f t="shared" si="2"/>
        <v>6762.0918095990191</v>
      </c>
      <c r="Y13" s="177">
        <f t="shared" si="2"/>
        <v>6816.1885440758124</v>
      </c>
      <c r="Z13" s="177">
        <f t="shared" si="2"/>
        <v>6870.7180524284195</v>
      </c>
      <c r="AA13" s="58"/>
    </row>
    <row r="14" spans="1:27" x14ac:dyDescent="0.3">
      <c r="AA14" s="58"/>
    </row>
    <row r="15" spans="1:27" x14ac:dyDescent="0.3">
      <c r="AA15" s="58"/>
    </row>
  </sheetData>
  <mergeCells count="2">
    <mergeCell ref="A1:Z1"/>
    <mergeCell ref="A8:Z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41"/>
  <sheetViews>
    <sheetView workbookViewId="0">
      <selection activeCell="K30" sqref="K30"/>
    </sheetView>
  </sheetViews>
  <sheetFormatPr defaultRowHeight="16.5" x14ac:dyDescent="0.3"/>
  <cols>
    <col min="1" max="1" width="16.7109375" style="55" customWidth="1"/>
    <col min="2" max="2" width="15.42578125" style="55" bestFit="1" customWidth="1"/>
    <col min="3" max="3" width="17.42578125" style="55" customWidth="1"/>
    <col min="4" max="4" width="14.7109375" style="55" customWidth="1"/>
    <col min="5" max="5" width="18" style="55" customWidth="1"/>
    <col min="6" max="6" width="6.28515625" style="55" customWidth="1"/>
    <col min="7" max="7" width="20.7109375" style="55" customWidth="1"/>
    <col min="8" max="8" width="9.140625" style="55"/>
    <col min="9" max="9" width="13.5703125" style="55" bestFit="1" customWidth="1"/>
    <col min="10" max="16384" width="9.140625" style="55"/>
  </cols>
  <sheetData>
    <row r="1" spans="1:13" s="131" customFormat="1" x14ac:dyDescent="0.3">
      <c r="A1" s="184" t="s">
        <v>175</v>
      </c>
      <c r="B1" s="184" t="s">
        <v>176</v>
      </c>
      <c r="C1" s="184" t="s">
        <v>80</v>
      </c>
      <c r="D1" s="184" t="s">
        <v>119</v>
      </c>
      <c r="E1" s="184" t="s">
        <v>120</v>
      </c>
      <c r="F1" s="184" t="s">
        <v>0</v>
      </c>
      <c r="G1" s="184"/>
      <c r="H1" s="184"/>
      <c r="I1" s="184"/>
      <c r="J1" s="184" t="s">
        <v>153</v>
      </c>
      <c r="K1" s="184"/>
    </row>
    <row r="2" spans="1:13" x14ac:dyDescent="0.3">
      <c r="A2" s="55" t="s">
        <v>81</v>
      </c>
      <c r="B2" s="55" t="s">
        <v>82</v>
      </c>
      <c r="C2" s="55">
        <v>6</v>
      </c>
      <c r="D2" s="55">
        <v>0.4</v>
      </c>
      <c r="E2" s="55">
        <v>0.25</v>
      </c>
      <c r="F2" s="55">
        <v>23</v>
      </c>
      <c r="G2" s="55">
        <f>F2*E2</f>
        <v>5.75</v>
      </c>
      <c r="H2" s="55">
        <f>F2*D2</f>
        <v>9.2000000000000011</v>
      </c>
      <c r="J2" s="55">
        <f>IF(F2&lt;0,E2*F2,K2)</f>
        <v>12.08862568641047</v>
      </c>
      <c r="K2" s="108">
        <f>G2*Predpoklady!$B$17</f>
        <v>12.08862568641047</v>
      </c>
    </row>
    <row r="3" spans="1:13" x14ac:dyDescent="0.3">
      <c r="A3" s="55" t="s">
        <v>83</v>
      </c>
      <c r="B3" s="55" t="s">
        <v>82</v>
      </c>
      <c r="C3" s="55">
        <v>4</v>
      </c>
      <c r="D3" s="55">
        <v>0.35</v>
      </c>
      <c r="E3" s="55">
        <v>0.22</v>
      </c>
      <c r="F3" s="55">
        <v>33</v>
      </c>
      <c r="G3" s="55">
        <f t="shared" ref="G3:G13" si="0">F3*E3</f>
        <v>7.26</v>
      </c>
      <c r="H3" s="55">
        <f t="shared" ref="H3:H13" si="1">F3*D3</f>
        <v>11.549999999999999</v>
      </c>
      <c r="J3" s="55">
        <f t="shared" ref="J3:J13" si="2">IF(F3&lt;0,E3*F3,K3)</f>
        <v>15.263203910146089</v>
      </c>
      <c r="K3" s="108">
        <f>G3*Predpoklady!$B$17</f>
        <v>15.263203910146089</v>
      </c>
    </row>
    <row r="4" spans="1:13" x14ac:dyDescent="0.3">
      <c r="A4" s="55" t="s">
        <v>84</v>
      </c>
      <c r="B4" s="55" t="s">
        <v>85</v>
      </c>
      <c r="C4" s="55">
        <v>5</v>
      </c>
      <c r="D4" s="55">
        <v>0.4</v>
      </c>
      <c r="E4" s="55">
        <v>0.25</v>
      </c>
      <c r="F4" s="55">
        <v>22</v>
      </c>
      <c r="G4" s="55">
        <f t="shared" si="0"/>
        <v>5.5</v>
      </c>
      <c r="H4" s="55">
        <f t="shared" si="1"/>
        <v>8.8000000000000007</v>
      </c>
      <c r="J4" s="55">
        <f t="shared" si="2"/>
        <v>11.563033265262188</v>
      </c>
      <c r="K4" s="108">
        <f>G4*Predpoklady!$B$17</f>
        <v>11.563033265262188</v>
      </c>
    </row>
    <row r="5" spans="1:13" x14ac:dyDescent="0.3">
      <c r="A5" s="55" t="s">
        <v>86</v>
      </c>
      <c r="B5" s="55" t="s">
        <v>85</v>
      </c>
      <c r="C5" s="55">
        <v>5</v>
      </c>
      <c r="D5" s="55">
        <v>0.4</v>
      </c>
      <c r="E5" s="55">
        <v>0.25</v>
      </c>
      <c r="F5" s="55">
        <v>30</v>
      </c>
      <c r="G5" s="55">
        <f t="shared" si="0"/>
        <v>7.5</v>
      </c>
      <c r="H5" s="55">
        <f t="shared" si="1"/>
        <v>12</v>
      </c>
      <c r="I5" s="55" t="s">
        <v>87</v>
      </c>
      <c r="J5" s="55">
        <f t="shared" si="2"/>
        <v>15.767772634448439</v>
      </c>
      <c r="K5" s="108">
        <f>G5*Predpoklady!$B$17</f>
        <v>15.767772634448439</v>
      </c>
    </row>
    <row r="6" spans="1:13" x14ac:dyDescent="0.3">
      <c r="A6" s="55" t="s">
        <v>88</v>
      </c>
      <c r="B6" s="55" t="s">
        <v>39</v>
      </c>
      <c r="C6" s="55">
        <v>7</v>
      </c>
      <c r="D6" s="55">
        <v>0.4</v>
      </c>
      <c r="E6" s="55">
        <v>0.25</v>
      </c>
      <c r="F6" s="55">
        <v>22</v>
      </c>
      <c r="G6" s="55">
        <f t="shared" si="0"/>
        <v>5.5</v>
      </c>
      <c r="H6" s="55">
        <f t="shared" si="1"/>
        <v>8.8000000000000007</v>
      </c>
      <c r="J6" s="55">
        <f t="shared" si="2"/>
        <v>11.563033265262188</v>
      </c>
      <c r="K6" s="108">
        <f>G6*Predpoklady!$B$17</f>
        <v>11.563033265262188</v>
      </c>
    </row>
    <row r="7" spans="1:13" x14ac:dyDescent="0.3">
      <c r="A7" s="55" t="s">
        <v>89</v>
      </c>
      <c r="B7" s="55" t="s">
        <v>90</v>
      </c>
      <c r="C7" s="55" t="s">
        <v>91</v>
      </c>
      <c r="D7" s="55">
        <v>0.9</v>
      </c>
      <c r="E7" s="55">
        <v>0.66</v>
      </c>
      <c r="F7" s="55">
        <v>23</v>
      </c>
      <c r="G7" s="55">
        <f t="shared" si="0"/>
        <v>15.180000000000001</v>
      </c>
      <c r="H7" s="55">
        <f t="shared" si="1"/>
        <v>20.7</v>
      </c>
      <c r="I7" s="55" t="s">
        <v>92</v>
      </c>
      <c r="J7" s="55">
        <f t="shared" si="2"/>
        <v>31.913971812123645</v>
      </c>
      <c r="K7" s="108">
        <f>G7*Predpoklady!$B$17</f>
        <v>31.913971812123645</v>
      </c>
    </row>
    <row r="8" spans="1:13" x14ac:dyDescent="0.3">
      <c r="A8" s="55" t="s">
        <v>93</v>
      </c>
      <c r="B8" s="55" t="s">
        <v>39</v>
      </c>
      <c r="C8" s="55">
        <v>7</v>
      </c>
      <c r="D8" s="55">
        <v>0.4</v>
      </c>
      <c r="E8" s="55">
        <v>0.25</v>
      </c>
      <c r="F8" s="55">
        <v>13</v>
      </c>
      <c r="G8" s="55">
        <f t="shared" si="0"/>
        <v>3.25</v>
      </c>
      <c r="H8" s="55">
        <f t="shared" si="1"/>
        <v>5.2</v>
      </c>
      <c r="J8" s="55">
        <f t="shared" si="2"/>
        <v>6.8327014749276573</v>
      </c>
      <c r="K8" s="108">
        <f>G8*Predpoklady!$B$17</f>
        <v>6.8327014749276573</v>
      </c>
    </row>
    <row r="9" spans="1:13" x14ac:dyDescent="0.3">
      <c r="A9" s="55" t="s">
        <v>94</v>
      </c>
      <c r="B9" s="55" t="s">
        <v>39</v>
      </c>
      <c r="C9" s="55">
        <v>5</v>
      </c>
      <c r="D9" s="55">
        <v>0.4</v>
      </c>
      <c r="E9" s="55">
        <v>0.25</v>
      </c>
      <c r="F9" s="55">
        <v>13</v>
      </c>
      <c r="G9" s="55">
        <f t="shared" si="0"/>
        <v>3.25</v>
      </c>
      <c r="H9" s="55">
        <f t="shared" si="1"/>
        <v>5.2</v>
      </c>
      <c r="J9" s="55">
        <f t="shared" si="2"/>
        <v>6.8327014749276573</v>
      </c>
      <c r="K9" s="108">
        <f>G9*Predpoklady!$B$17</f>
        <v>6.8327014749276573</v>
      </c>
    </row>
    <row r="10" spans="1:13" x14ac:dyDescent="0.3">
      <c r="A10" s="55" t="s">
        <v>95</v>
      </c>
      <c r="B10" s="55" t="s">
        <v>96</v>
      </c>
      <c r="C10" s="55">
        <v>5</v>
      </c>
      <c r="D10" s="55">
        <v>0.4</v>
      </c>
      <c r="E10" s="55">
        <v>0.25</v>
      </c>
      <c r="F10" s="55">
        <v>10</v>
      </c>
      <c r="G10" s="55">
        <f t="shared" si="0"/>
        <v>2.5</v>
      </c>
      <c r="H10" s="55">
        <f t="shared" si="1"/>
        <v>4</v>
      </c>
      <c r="J10" s="55">
        <f t="shared" si="2"/>
        <v>5.2559242114828129</v>
      </c>
      <c r="K10" s="108">
        <f>G10*Predpoklady!$B$17</f>
        <v>5.2559242114828129</v>
      </c>
    </row>
    <row r="11" spans="1:13" x14ac:dyDescent="0.3">
      <c r="A11" s="55" t="s">
        <v>97</v>
      </c>
      <c r="B11" s="55" t="s">
        <v>96</v>
      </c>
      <c r="C11" s="55">
        <v>2</v>
      </c>
      <c r="D11" s="55">
        <v>0.35</v>
      </c>
      <c r="E11" s="55">
        <v>0.22</v>
      </c>
      <c r="F11" s="55">
        <v>27</v>
      </c>
      <c r="G11" s="55">
        <f t="shared" si="0"/>
        <v>5.94</v>
      </c>
      <c r="H11" s="55">
        <f t="shared" si="1"/>
        <v>9.4499999999999993</v>
      </c>
      <c r="J11" s="55">
        <f t="shared" si="2"/>
        <v>12.488075926483164</v>
      </c>
      <c r="K11" s="108">
        <f>G11*Predpoklady!$B$17</f>
        <v>12.488075926483164</v>
      </c>
    </row>
    <row r="12" spans="1:13" x14ac:dyDescent="0.3">
      <c r="A12" s="55" t="s">
        <v>98</v>
      </c>
      <c r="B12" s="55" t="s">
        <v>99</v>
      </c>
      <c r="C12" s="55">
        <v>9</v>
      </c>
      <c r="D12" s="55">
        <v>0.45</v>
      </c>
      <c r="E12" s="55">
        <v>0.33</v>
      </c>
      <c r="F12" s="55">
        <v>15</v>
      </c>
      <c r="G12" s="55">
        <f t="shared" si="0"/>
        <v>4.95</v>
      </c>
      <c r="H12" s="55">
        <f t="shared" si="1"/>
        <v>6.75</v>
      </c>
      <c r="J12" s="55">
        <f t="shared" si="2"/>
        <v>10.406729938735971</v>
      </c>
      <c r="K12" s="108">
        <f>G12*Predpoklady!$B$17</f>
        <v>10.406729938735971</v>
      </c>
    </row>
    <row r="13" spans="1:13" x14ac:dyDescent="0.3">
      <c r="A13" s="68" t="s">
        <v>100</v>
      </c>
      <c r="B13" s="68" t="s">
        <v>99</v>
      </c>
      <c r="C13" s="68">
        <v>6</v>
      </c>
      <c r="D13" s="68">
        <v>0.4</v>
      </c>
      <c r="E13" s="68">
        <v>0.25</v>
      </c>
      <c r="F13" s="68">
        <v>35</v>
      </c>
      <c r="G13" s="68">
        <f t="shared" si="0"/>
        <v>8.75</v>
      </c>
      <c r="H13" s="68">
        <f t="shared" si="1"/>
        <v>14</v>
      </c>
      <c r="I13" s="68"/>
      <c r="J13" s="68">
        <f t="shared" si="2"/>
        <v>18.395734740189845</v>
      </c>
      <c r="K13" s="186">
        <f>G13*Predpoklady!$B$17</f>
        <v>18.395734740189845</v>
      </c>
    </row>
    <row r="14" spans="1:13" x14ac:dyDescent="0.3">
      <c r="C14" s="55">
        <f>SUM(C2:C13)+19</f>
        <v>80</v>
      </c>
      <c r="E14" s="190">
        <f>SUM(E2:E13)*Predpoklady!B17</f>
        <v>7.2111280181544197</v>
      </c>
      <c r="F14" s="190"/>
      <c r="G14" s="191">
        <f>SUM(G2:G13)</f>
        <v>75.33</v>
      </c>
      <c r="H14" s="190">
        <f>SUM(H2:H13)</f>
        <v>115.65</v>
      </c>
      <c r="I14" s="190"/>
      <c r="J14" s="192">
        <f>SUM(J2:J13)</f>
        <v>158.37150834040014</v>
      </c>
      <c r="K14" s="192">
        <f>SUM(K2:K13)</f>
        <v>158.37150834040014</v>
      </c>
      <c r="M14" s="108">
        <f>E14/C14</f>
        <v>9.0139100226930252E-2</v>
      </c>
    </row>
    <row r="15" spans="1:13" x14ac:dyDescent="0.3">
      <c r="M15" s="108"/>
    </row>
    <row r="16" spans="1:13" x14ac:dyDescent="0.3">
      <c r="A16" s="184" t="s">
        <v>175</v>
      </c>
      <c r="B16" s="184" t="s">
        <v>176</v>
      </c>
      <c r="C16" s="184" t="s">
        <v>80</v>
      </c>
      <c r="D16" s="184" t="s">
        <v>119</v>
      </c>
      <c r="E16" s="184" t="s">
        <v>120</v>
      </c>
      <c r="F16" s="184" t="s">
        <v>0</v>
      </c>
      <c r="G16" s="184"/>
      <c r="H16" s="184"/>
      <c r="I16" s="184"/>
      <c r="J16" s="184" t="s">
        <v>153</v>
      </c>
      <c r="K16" s="184"/>
    </row>
    <row r="17" spans="1:13" x14ac:dyDescent="0.3">
      <c r="A17" s="74" t="s">
        <v>101</v>
      </c>
      <c r="B17" s="74" t="s">
        <v>102</v>
      </c>
      <c r="C17" s="74">
        <v>7</v>
      </c>
      <c r="D17" s="74">
        <v>0.4</v>
      </c>
      <c r="E17" s="74">
        <v>0.3</v>
      </c>
      <c r="F17" s="74">
        <v>8</v>
      </c>
      <c r="G17" s="74">
        <f>F17*E17</f>
        <v>2.4</v>
      </c>
      <c r="H17" s="74">
        <f>F17*D17</f>
        <v>3.2</v>
      </c>
      <c r="I17" s="74" t="s">
        <v>87</v>
      </c>
      <c r="J17" s="74">
        <f>IF(F17&lt;0,E17*F17,K17)</f>
        <v>5.0456872430235</v>
      </c>
      <c r="K17" s="74">
        <f>G17*Predpoklady!$B$17</f>
        <v>5.0456872430235</v>
      </c>
    </row>
    <row r="18" spans="1:13" x14ac:dyDescent="0.3">
      <c r="A18" s="55" t="s">
        <v>103</v>
      </c>
      <c r="B18" s="55" t="s">
        <v>102</v>
      </c>
      <c r="C18" s="55">
        <v>3</v>
      </c>
      <c r="D18" s="55">
        <v>0.4</v>
      </c>
      <c r="E18" s="55">
        <v>0.3</v>
      </c>
      <c r="F18" s="55">
        <v>17</v>
      </c>
      <c r="G18" s="55">
        <f t="shared" ref="G18:G23" si="3">F18*E18</f>
        <v>5.0999999999999996</v>
      </c>
      <c r="H18" s="55">
        <f t="shared" ref="H18:H23" si="4">F18*D18</f>
        <v>6.8000000000000007</v>
      </c>
      <c r="J18" s="55">
        <f t="shared" ref="J18:J23" si="5">IF(F18&lt;0,E18*F18,K18)</f>
        <v>10.722085391424939</v>
      </c>
      <c r="K18" s="55">
        <f>G18*Predpoklady!$B$17</f>
        <v>10.722085391424939</v>
      </c>
    </row>
    <row r="19" spans="1:13" x14ac:dyDescent="0.3">
      <c r="A19" s="55" t="s">
        <v>5</v>
      </c>
      <c r="B19" s="55" t="s">
        <v>102</v>
      </c>
      <c r="C19" s="55">
        <v>4</v>
      </c>
      <c r="D19" s="55">
        <v>0.4</v>
      </c>
      <c r="E19" s="55">
        <v>0.3</v>
      </c>
      <c r="F19" s="55">
        <v>20</v>
      </c>
      <c r="G19" s="55">
        <f t="shared" si="3"/>
        <v>6</v>
      </c>
      <c r="H19" s="55">
        <f t="shared" si="4"/>
        <v>8</v>
      </c>
      <c r="J19" s="55">
        <f t="shared" si="5"/>
        <v>12.614218107558752</v>
      </c>
      <c r="K19" s="55">
        <f>G19*Predpoklady!$B$17</f>
        <v>12.614218107558752</v>
      </c>
    </row>
    <row r="20" spans="1:13" x14ac:dyDescent="0.3">
      <c r="A20" s="55" t="s">
        <v>104</v>
      </c>
      <c r="B20" s="55" t="s">
        <v>105</v>
      </c>
      <c r="C20" s="55">
        <v>4</v>
      </c>
      <c r="D20" s="55">
        <v>0.4</v>
      </c>
      <c r="E20" s="55">
        <v>0.3</v>
      </c>
      <c r="F20" s="55">
        <v>45</v>
      </c>
      <c r="G20" s="55">
        <f t="shared" si="3"/>
        <v>13.5</v>
      </c>
      <c r="H20" s="55">
        <f t="shared" si="4"/>
        <v>18</v>
      </c>
      <c r="J20" s="55">
        <f t="shared" si="5"/>
        <v>28.38199074200719</v>
      </c>
      <c r="K20" s="55">
        <f>G20*Predpoklady!$B$17</f>
        <v>28.38199074200719</v>
      </c>
    </row>
    <row r="21" spans="1:13" x14ac:dyDescent="0.3">
      <c r="A21" s="55" t="s">
        <v>106</v>
      </c>
      <c r="B21" s="55" t="s">
        <v>107</v>
      </c>
      <c r="C21" s="55">
        <v>5</v>
      </c>
      <c r="D21" s="55">
        <v>0.4</v>
      </c>
      <c r="E21" s="55">
        <v>0.3</v>
      </c>
      <c r="F21" s="55">
        <v>25</v>
      </c>
      <c r="G21" s="55">
        <f t="shared" si="3"/>
        <v>7.5</v>
      </c>
      <c r="H21" s="55">
        <f t="shared" si="4"/>
        <v>10</v>
      </c>
      <c r="J21" s="55">
        <f t="shared" si="5"/>
        <v>15.767772634448439</v>
      </c>
      <c r="K21" s="55">
        <f>G21*Predpoklady!$B$17</f>
        <v>15.767772634448439</v>
      </c>
    </row>
    <row r="22" spans="1:13" x14ac:dyDescent="0.3">
      <c r="A22" s="55" t="s">
        <v>108</v>
      </c>
      <c r="B22" s="55" t="s">
        <v>38</v>
      </c>
      <c r="C22" s="55">
        <v>5</v>
      </c>
      <c r="D22" s="55">
        <v>0.4</v>
      </c>
      <c r="E22" s="55">
        <v>0.3</v>
      </c>
      <c r="F22" s="55">
        <v>32</v>
      </c>
      <c r="G22" s="55">
        <f t="shared" si="3"/>
        <v>9.6</v>
      </c>
      <c r="H22" s="55">
        <f t="shared" si="4"/>
        <v>12.8</v>
      </c>
      <c r="J22" s="55">
        <f t="shared" si="5"/>
        <v>20.182748972094</v>
      </c>
      <c r="K22" s="55">
        <f>G22*Predpoklady!$B$17</f>
        <v>20.182748972094</v>
      </c>
    </row>
    <row r="23" spans="1:13" x14ac:dyDescent="0.3">
      <c r="A23" s="68" t="s">
        <v>109</v>
      </c>
      <c r="B23" s="68" t="s">
        <v>110</v>
      </c>
      <c r="C23" s="68">
        <v>2</v>
      </c>
      <c r="D23" s="68">
        <v>0.4</v>
      </c>
      <c r="E23" s="68">
        <v>0.3</v>
      </c>
      <c r="F23" s="68">
        <v>12</v>
      </c>
      <c r="G23" s="68">
        <f t="shared" si="3"/>
        <v>3.5999999999999996</v>
      </c>
      <c r="H23" s="68">
        <f t="shared" si="4"/>
        <v>4.8000000000000007</v>
      </c>
      <c r="I23" s="68"/>
      <c r="J23" s="68">
        <f t="shared" si="5"/>
        <v>7.5685308645352505</v>
      </c>
      <c r="K23" s="68">
        <f>G23*Predpoklady!$B$17</f>
        <v>7.5685308645352505</v>
      </c>
    </row>
    <row r="24" spans="1:13" x14ac:dyDescent="0.3">
      <c r="C24" s="55">
        <f>SUM(C17:C23)</f>
        <v>30</v>
      </c>
      <c r="E24" s="190">
        <f>SUM(E17:E23)*Predpoklady!B17</f>
        <v>4.4149763376455633</v>
      </c>
      <c r="F24" s="190"/>
      <c r="G24" s="191">
        <f>SUM(G17:G23)</f>
        <v>47.7</v>
      </c>
      <c r="H24" s="190">
        <f>SUM(H17:H23)</f>
        <v>63.599999999999994</v>
      </c>
      <c r="I24" s="190"/>
      <c r="J24" s="192">
        <f>SUM(J17:J23)</f>
        <v>100.28303395509207</v>
      </c>
      <c r="K24" s="192">
        <f>SUM(K17:K23)</f>
        <v>100.28303395509207</v>
      </c>
      <c r="L24" s="190"/>
      <c r="M24" s="190">
        <f>E24/C24</f>
        <v>0.14716587792151878</v>
      </c>
    </row>
    <row r="27" spans="1:13" ht="16.5" customHeight="1" x14ac:dyDescent="0.3">
      <c r="A27" s="219" t="s">
        <v>36</v>
      </c>
      <c r="B27" s="219"/>
      <c r="C27" s="219"/>
      <c r="E27" s="219" t="s">
        <v>14</v>
      </c>
      <c r="F27" s="219"/>
      <c r="G27" s="219"/>
    </row>
    <row r="28" spans="1:13" ht="16.5" customHeight="1" x14ac:dyDescent="0.3">
      <c r="A28" s="187" t="s">
        <v>15</v>
      </c>
      <c r="B28" s="189" t="s">
        <v>0</v>
      </c>
      <c r="C28" s="187" t="s">
        <v>1</v>
      </c>
      <c r="D28" s="185"/>
      <c r="E28" s="187" t="s">
        <v>15</v>
      </c>
      <c r="F28" s="187" t="s">
        <v>0</v>
      </c>
      <c r="G28" s="187" t="s">
        <v>1</v>
      </c>
    </row>
    <row r="29" spans="1:13" ht="16.5" customHeight="1" x14ac:dyDescent="0.3">
      <c r="A29" s="58" t="s">
        <v>16</v>
      </c>
      <c r="B29" s="60">
        <v>23</v>
      </c>
      <c r="C29" s="217" t="s">
        <v>17</v>
      </c>
      <c r="E29" s="181" t="s">
        <v>2</v>
      </c>
      <c r="F29" s="188">
        <v>8</v>
      </c>
      <c r="G29" s="220" t="s">
        <v>3</v>
      </c>
    </row>
    <row r="30" spans="1:13" ht="16.5" customHeight="1" x14ac:dyDescent="0.3">
      <c r="A30" s="68" t="s">
        <v>18</v>
      </c>
      <c r="B30" s="120">
        <v>33</v>
      </c>
      <c r="C30" s="218"/>
      <c r="E30" s="139" t="s">
        <v>4</v>
      </c>
      <c r="F30" s="60">
        <v>17</v>
      </c>
      <c r="G30" s="217"/>
    </row>
    <row r="31" spans="1:13" ht="16.5" customHeight="1" x14ac:dyDescent="0.3">
      <c r="A31" s="74" t="s">
        <v>19</v>
      </c>
      <c r="B31" s="188">
        <v>22</v>
      </c>
      <c r="C31" s="220" t="s">
        <v>20</v>
      </c>
      <c r="E31" s="173" t="s">
        <v>5</v>
      </c>
      <c r="F31" s="120">
        <v>20</v>
      </c>
      <c r="G31" s="218"/>
    </row>
    <row r="32" spans="1:13" ht="16.5" customHeight="1" x14ac:dyDescent="0.3">
      <c r="A32" s="68" t="s">
        <v>21</v>
      </c>
      <c r="B32" s="120">
        <v>30</v>
      </c>
      <c r="C32" s="218"/>
      <c r="E32" s="173" t="s">
        <v>6</v>
      </c>
      <c r="F32" s="120">
        <v>45</v>
      </c>
      <c r="G32" s="173" t="s">
        <v>7</v>
      </c>
    </row>
    <row r="33" spans="1:7" ht="16.5" customHeight="1" x14ac:dyDescent="0.3">
      <c r="A33" s="182" t="s">
        <v>22</v>
      </c>
      <c r="B33" s="113">
        <v>22</v>
      </c>
      <c r="C33" s="182" t="s">
        <v>23</v>
      </c>
      <c r="E33" s="173" t="s">
        <v>8</v>
      </c>
      <c r="F33" s="120">
        <v>25</v>
      </c>
      <c r="G33" s="173" t="s">
        <v>9</v>
      </c>
    </row>
    <row r="34" spans="1:7" ht="16.5" customHeight="1" x14ac:dyDescent="0.3">
      <c r="A34" s="182" t="s">
        <v>24</v>
      </c>
      <c r="B34" s="113">
        <v>23</v>
      </c>
      <c r="C34" s="182" t="s">
        <v>25</v>
      </c>
      <c r="E34" s="173" t="s">
        <v>10</v>
      </c>
      <c r="F34" s="120">
        <v>32</v>
      </c>
      <c r="G34" s="173" t="s">
        <v>11</v>
      </c>
    </row>
    <row r="35" spans="1:7" ht="16.5" customHeight="1" x14ac:dyDescent="0.3">
      <c r="A35" s="182" t="s">
        <v>26</v>
      </c>
      <c r="B35" s="113">
        <v>13</v>
      </c>
      <c r="C35" s="182" t="s">
        <v>27</v>
      </c>
      <c r="E35" s="173" t="s">
        <v>12</v>
      </c>
      <c r="F35" s="120">
        <v>12</v>
      </c>
      <c r="G35" s="173" t="s">
        <v>13</v>
      </c>
    </row>
    <row r="36" spans="1:7" ht="16.5" customHeight="1" x14ac:dyDescent="0.3">
      <c r="A36" s="182" t="s">
        <v>28</v>
      </c>
      <c r="B36" s="113">
        <v>13</v>
      </c>
      <c r="C36" s="182" t="s">
        <v>29</v>
      </c>
      <c r="F36" s="59">
        <f>SUM(F29:F35)</f>
        <v>159</v>
      </c>
    </row>
    <row r="37" spans="1:7" ht="16.5" customHeight="1" x14ac:dyDescent="0.3">
      <c r="A37" s="183" t="s">
        <v>30</v>
      </c>
      <c r="B37" s="140">
        <v>10</v>
      </c>
      <c r="C37" s="217" t="s">
        <v>31</v>
      </c>
    </row>
    <row r="38" spans="1:7" ht="16.5" customHeight="1" x14ac:dyDescent="0.3">
      <c r="A38" s="182" t="s">
        <v>32</v>
      </c>
      <c r="B38" s="113">
        <v>27</v>
      </c>
      <c r="C38" s="218"/>
    </row>
    <row r="39" spans="1:7" ht="16.5" customHeight="1" x14ac:dyDescent="0.3">
      <c r="A39" s="183" t="s">
        <v>33</v>
      </c>
      <c r="B39" s="140">
        <v>15</v>
      </c>
      <c r="C39" s="217" t="s">
        <v>34</v>
      </c>
    </row>
    <row r="40" spans="1:7" ht="16.5" customHeight="1" x14ac:dyDescent="0.3">
      <c r="A40" s="182" t="s">
        <v>35</v>
      </c>
      <c r="B40" s="113">
        <v>35</v>
      </c>
      <c r="C40" s="218"/>
    </row>
    <row r="41" spans="1:7" x14ac:dyDescent="0.3">
      <c r="B41" s="59">
        <f>SUM(B29:B40)</f>
        <v>266</v>
      </c>
    </row>
  </sheetData>
  <mergeCells count="7">
    <mergeCell ref="C37:C38"/>
    <mergeCell ref="C39:C40"/>
    <mergeCell ref="E27:G27"/>
    <mergeCell ref="A27:C27"/>
    <mergeCell ref="G29:G31"/>
    <mergeCell ref="C29:C30"/>
    <mergeCell ref="C31:C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8</vt:i4>
      </vt:variant>
      <vt:variant>
        <vt:lpstr>Pomenované rozsahy</vt:lpstr>
      </vt:variant>
      <vt:variant>
        <vt:i4>1</vt:i4>
      </vt:variant>
    </vt:vector>
  </HeadingPairs>
  <TitlesOfParts>
    <vt:vector size="9" baseType="lpstr">
      <vt:lpstr>Intro</vt:lpstr>
      <vt:lpstr>Kalkulačka</vt:lpstr>
      <vt:lpstr>Analýza_citlivosti</vt:lpstr>
      <vt:lpstr>CMA</vt:lpstr>
      <vt:lpstr>Predpoklady</vt:lpstr>
      <vt:lpstr>OPEX</vt:lpstr>
      <vt:lpstr>Diesel</vt:lpstr>
      <vt:lpstr>Ceny_listkov</vt:lpstr>
      <vt:lpstr>Okres</vt:lpstr>
    </vt:vector>
  </TitlesOfParts>
  <Company>Ministerstvo financií 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Halus Martin</dc:creator>
  <cp:lastModifiedBy>MŠ</cp:lastModifiedBy>
  <dcterms:created xsi:type="dcterms:W3CDTF">2016-02-04T09:27:40Z</dcterms:created>
  <dcterms:modified xsi:type="dcterms:W3CDTF">2016-08-26T08:26:01Z</dcterms:modified>
</cp:coreProperties>
</file>